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B71AF0B4-EBCA-4F8D-BE02-2AF8AE09314A}" xr6:coauthVersionLast="47" xr6:coauthVersionMax="47" xr10:uidLastSave="{00000000-0000-0000-0000-000000000000}"/>
  <bookViews>
    <workbookView xWindow="-120" yWindow="-120" windowWidth="29040" windowHeight="15720" tabRatio="254" xr2:uid="{00000000-000D-0000-FFFF-FFFF00000000}"/>
  </bookViews>
  <sheets>
    <sheet name="計算シート" sheetId="22" r:id="rId1"/>
    <sheet name="引数用シート" sheetId="27" state="hidden" r:id="rId2"/>
    <sheet name="税率表" sheetId="23" r:id="rId3"/>
  </sheets>
  <definedNames>
    <definedName name="_xlnm._FilterDatabase" localSheetId="1" hidden="1">引数用シート!$BB$15:$BE$16</definedName>
    <definedName name="_xlnm.Print_Area" localSheetId="1">引数用シート!$A$1:$AH$52</definedName>
    <definedName name="_xlnm.Print_Area" localSheetId="0">計算シート!$A$1:$O$29</definedName>
    <definedName name="_xlnm.Print_Area" localSheetId="2">税率表!$A$1:$I$19</definedName>
    <definedName name="一定の給与所得者年金基準">引数用シート!$AP$6:$AQ$7</definedName>
    <definedName name="加入者">計算シート!$C$9:$M$13</definedName>
    <definedName name="簡易給与所得表">引数用シート!#REF!</definedName>
    <definedName name="給与所得算出表">引数用シート!$BB$2:$BF$12</definedName>
    <definedName name="軽減判定">引数用シート!$AL$5:$AM$8</definedName>
    <definedName name="元号">引数用シート!$G$45:$G$49</definedName>
    <definedName name="元号表">引数用シート!$G$45:$I$49</definedName>
    <definedName name="所得区分表">引数用シート!$AW$19:$AY$21</definedName>
    <definedName name="年金控除表６５以上">引数用シート!$AU$3:$AY$6</definedName>
    <definedName name="年金控除表６５未満">引数用シート!$AU$8:$AY$11</definedName>
    <definedName name="年金控除率６５以上">引数用シート!$AU$3:$AV$6</definedName>
    <definedName name="年金控除率６５未満">引数用シート!$AU$3:$AV$6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2" l="1"/>
  <c r="I46" i="27" l="1"/>
  <c r="I47" i="27"/>
  <c r="AE17" i="27" l="1"/>
  <c r="T46" i="27" s="1"/>
  <c r="R46" i="27" l="1"/>
  <c r="S46" i="27" s="1"/>
  <c r="R22" i="27"/>
  <c r="AY19" i="27" l="1"/>
  <c r="I48" i="27" l="1"/>
  <c r="J15" i="27" l="1"/>
  <c r="AP17" i="27" s="1"/>
  <c r="D6" i="23" l="1"/>
  <c r="D5" i="23"/>
  <c r="D7" i="23" l="1"/>
  <c r="B19" i="22" l="1"/>
  <c r="H7" i="23" l="1"/>
  <c r="F5" i="23"/>
  <c r="J7" i="27"/>
  <c r="AP13" i="27" s="1"/>
  <c r="H7" i="27"/>
  <c r="F7" i="27"/>
  <c r="H9" i="27"/>
  <c r="F9" i="27"/>
  <c r="AM14" i="27" s="1"/>
  <c r="J9" i="27"/>
  <c r="AP14" i="27" s="1"/>
  <c r="H11" i="27"/>
  <c r="AK15" i="27" s="1"/>
  <c r="F11" i="27"/>
  <c r="AM15" i="27" s="1"/>
  <c r="BA15" i="27" s="1"/>
  <c r="BB15" i="27" s="1"/>
  <c r="J11" i="27"/>
  <c r="AP15" i="27" s="1"/>
  <c r="H13" i="27"/>
  <c r="F13" i="27"/>
  <c r="J13" i="27"/>
  <c r="AP16" i="27" s="1"/>
  <c r="O13" i="22"/>
  <c r="B13" i="22" s="1"/>
  <c r="C15" i="27" s="1"/>
  <c r="H15" i="27"/>
  <c r="F15" i="27"/>
  <c r="AE18" i="27"/>
  <c r="R34" i="27" s="1"/>
  <c r="AB22" i="27"/>
  <c r="AB34" i="27" s="1"/>
  <c r="AB46" i="27" s="1"/>
  <c r="H6" i="23"/>
  <c r="H5" i="23"/>
  <c r="F7" i="23"/>
  <c r="F6" i="23"/>
  <c r="B1" i="23"/>
  <c r="C1" i="27"/>
  <c r="G46" i="27"/>
  <c r="G47" i="27"/>
  <c r="G48" i="27"/>
  <c r="I49" i="27"/>
  <c r="M49" i="27"/>
  <c r="M47" i="27"/>
  <c r="M23" i="27"/>
  <c r="M25" i="27"/>
  <c r="B20" i="22"/>
  <c r="C19" i="22"/>
  <c r="BA14" i="27" l="1"/>
  <c r="BB14" i="27" s="1"/>
  <c r="BC14" i="27" s="1"/>
  <c r="BC15" i="27"/>
  <c r="BD15" i="27" s="1"/>
  <c r="T34" i="27"/>
  <c r="S34" i="27"/>
  <c r="BE15" i="27"/>
  <c r="AM17" i="27"/>
  <c r="BA17" i="27" s="1"/>
  <c r="BB17" i="27" s="1"/>
  <c r="AM16" i="27"/>
  <c r="BA16" i="27" s="1"/>
  <c r="BB16" i="27" s="1"/>
  <c r="AM13" i="27"/>
  <c r="AK14" i="27"/>
  <c r="AK17" i="27"/>
  <c r="AK16" i="27"/>
  <c r="AK13" i="27"/>
  <c r="O10" i="22"/>
  <c r="B10" i="22" s="1"/>
  <c r="C9" i="27" s="1"/>
  <c r="O9" i="22"/>
  <c r="B9" i="22" s="1"/>
  <c r="C7" i="27" s="1"/>
  <c r="O12" i="22"/>
  <c r="D13" i="27" s="1"/>
  <c r="A14" i="27" s="1"/>
  <c r="E13" i="27" s="1"/>
  <c r="O11" i="22"/>
  <c r="D11" i="27" s="1"/>
  <c r="B12" i="27" s="1"/>
  <c r="AI12" i="27" s="1"/>
  <c r="AJ15" i="27" s="1"/>
  <c r="AX15" i="27" s="1"/>
  <c r="D15" i="27"/>
  <c r="B16" i="27" s="1"/>
  <c r="AI16" i="27" s="1"/>
  <c r="T22" i="27"/>
  <c r="S22" i="27"/>
  <c r="BE14" i="27" l="1"/>
  <c r="BC16" i="27"/>
  <c r="BD16" i="27"/>
  <c r="BC17" i="27"/>
  <c r="BD17" i="27"/>
  <c r="BD14" i="27"/>
  <c r="BF14" i="27" s="1"/>
  <c r="BA13" i="27"/>
  <c r="BB13" i="27" s="1"/>
  <c r="BC13" i="27" s="1"/>
  <c r="AJ17" i="27"/>
  <c r="AX17" i="27" s="1"/>
  <c r="BF15" i="27"/>
  <c r="AN15" i="27" s="1"/>
  <c r="AQ15" i="27" s="1"/>
  <c r="BE16" i="27"/>
  <c r="BE17" i="27"/>
  <c r="D9" i="27"/>
  <c r="A10" i="27" s="1"/>
  <c r="B12" i="22"/>
  <c r="C13" i="27" s="1"/>
  <c r="B14" i="27"/>
  <c r="AI14" i="27" s="1"/>
  <c r="AJ16" i="27" s="1"/>
  <c r="AX16" i="27" s="1"/>
  <c r="B11" i="22"/>
  <c r="C11" i="27" s="1"/>
  <c r="A12" i="27"/>
  <c r="D7" i="27"/>
  <c r="A8" i="27" s="1"/>
  <c r="X14" i="27"/>
  <c r="A16" i="27"/>
  <c r="E15" i="27" s="1"/>
  <c r="AV15" i="27"/>
  <c r="BD13" i="27" l="1"/>
  <c r="BE13" i="27"/>
  <c r="E11" i="27"/>
  <c r="X12" i="27" s="1"/>
  <c r="E7" i="27"/>
  <c r="X8" i="27" s="1"/>
  <c r="E9" i="27"/>
  <c r="X10" i="27" s="1"/>
  <c r="BF17" i="27"/>
  <c r="AN17" i="27" s="1"/>
  <c r="BF16" i="27"/>
  <c r="AN16" i="27" s="1"/>
  <c r="AQ16" i="27" s="1"/>
  <c r="B10" i="27"/>
  <c r="AI10" i="27" s="1"/>
  <c r="B8" i="27"/>
  <c r="AI8" i="27" s="1"/>
  <c r="AJ13" i="27" s="1"/>
  <c r="AX13" i="27" s="1"/>
  <c r="X16" i="27"/>
  <c r="AV17" i="27"/>
  <c r="AV16" i="27"/>
  <c r="BF13" i="27" l="1"/>
  <c r="AN13" i="27" s="1"/>
  <c r="AQ13" i="27" s="1"/>
  <c r="AJ14" i="27"/>
  <c r="AX14" i="27" s="1"/>
  <c r="AQ17" i="27"/>
  <c r="AW17" i="27"/>
  <c r="AV13" i="27"/>
  <c r="AR5" i="27" l="1"/>
  <c r="AU17" i="27"/>
  <c r="AL17" i="27" s="1"/>
  <c r="AV14" i="27"/>
  <c r="AW13" i="27"/>
  <c r="AO17" i="27" l="1"/>
  <c r="AR17" i="27"/>
  <c r="AU13" i="27"/>
  <c r="AL13" i="27" s="1"/>
  <c r="AW16" i="27"/>
  <c r="AW15" i="27"/>
  <c r="AS17" i="27" l="1"/>
  <c r="F16" i="27" s="1"/>
  <c r="AT17" i="27"/>
  <c r="H16" i="27" s="1"/>
  <c r="AO13" i="27"/>
  <c r="AR13" i="27" s="1"/>
  <c r="AU16" i="27"/>
  <c r="AU15" i="27"/>
  <c r="W16" i="27" l="1"/>
  <c r="I15" i="27"/>
  <c r="AA15" i="27" s="1"/>
  <c r="AA16" i="27"/>
  <c r="W15" i="27"/>
  <c r="AT13" i="27"/>
  <c r="H8" i="27" s="1"/>
  <c r="W8" i="27" s="1"/>
  <c r="AS13" i="27"/>
  <c r="AL16" i="27"/>
  <c r="AO16" i="27" s="1"/>
  <c r="AL15" i="27"/>
  <c r="Y16" i="27" l="1"/>
  <c r="AB16" i="27" s="1"/>
  <c r="Y15" i="27"/>
  <c r="F8" i="27"/>
  <c r="AO15" i="27"/>
  <c r="AR15" i="27" s="1"/>
  <c r="AT15" i="27" s="1"/>
  <c r="I7" i="27"/>
  <c r="AR16" i="27"/>
  <c r="AT16" i="27" s="1"/>
  <c r="W7" i="27" l="1"/>
  <c r="AA8" i="27"/>
  <c r="AL6" i="27"/>
  <c r="AL8" i="27"/>
  <c r="AL7" i="27"/>
  <c r="AS15" i="27"/>
  <c r="F12" i="27" s="1"/>
  <c r="W11" i="27" s="1"/>
  <c r="H12" i="27"/>
  <c r="W12" i="27" s="1"/>
  <c r="H14" i="27"/>
  <c r="AS16" i="27"/>
  <c r="F14" i="27" s="1"/>
  <c r="W13" i="27" s="1"/>
  <c r="AN14" i="27"/>
  <c r="Y8" i="27" l="1"/>
  <c r="Y7" i="27"/>
  <c r="Y11" i="27"/>
  <c r="Y12" i="27"/>
  <c r="I13" i="27"/>
  <c r="AA13" i="27" s="1"/>
  <c r="W14" i="27"/>
  <c r="I11" i="27"/>
  <c r="AQ14" i="27"/>
  <c r="AA14" i="27"/>
  <c r="AA12" i="27"/>
  <c r="AW14" i="27"/>
  <c r="AB8" i="27" l="1"/>
  <c r="AB12" i="27"/>
  <c r="Y13" i="27"/>
  <c r="Y14" i="27"/>
  <c r="AU14" i="27"/>
  <c r="AL14" i="27" s="1"/>
  <c r="AO14" i="27" l="1"/>
  <c r="AR14" i="27" s="1"/>
  <c r="AB14" i="27"/>
  <c r="AS14" i="27" l="1"/>
  <c r="F10" i="27" s="1"/>
  <c r="AT14" i="27"/>
  <c r="H10" i="27" s="1"/>
  <c r="W10" i="27" l="1"/>
  <c r="I9" i="27"/>
  <c r="W9" i="27"/>
  <c r="AA10" i="27"/>
  <c r="Y10" i="27" l="1"/>
  <c r="Y17" i="27" s="1"/>
  <c r="Y9" i="27"/>
  <c r="AH8" i="27" l="1"/>
  <c r="V34" i="27" s="1"/>
  <c r="AB10" i="27"/>
  <c r="AB17" i="27" s="1"/>
  <c r="Y18" i="27"/>
  <c r="V22" i="27" l="1"/>
  <c r="E27" i="22"/>
  <c r="V46" i="27"/>
  <c r="AB18" i="27"/>
  <c r="P34" i="27" s="1"/>
  <c r="P22" i="27"/>
  <c r="Q22" i="27" s="1"/>
  <c r="U22" i="27" s="1"/>
  <c r="P46" i="27"/>
  <c r="Q46" i="27" s="1"/>
  <c r="Y22" i="27" l="1"/>
  <c r="Z22" i="27" s="1"/>
  <c r="AC22" i="27" s="1"/>
  <c r="AE22" i="27" s="1"/>
  <c r="Q34" i="27"/>
  <c r="U34" i="27" s="1"/>
  <c r="U46" i="27"/>
  <c r="Y46" i="27" s="1"/>
  <c r="Z46" i="27" s="1"/>
  <c r="AC46" i="27" s="1"/>
  <c r="AE46" i="27" s="1"/>
  <c r="E25" i="22" s="1"/>
  <c r="Y34" i="27" l="1"/>
  <c r="Z34" i="27" s="1"/>
  <c r="AC34" i="27" s="1"/>
  <c r="AE34" i="27" s="1"/>
  <c r="E26" i="22" s="1"/>
  <c r="E24" i="22"/>
  <c r="Q54" i="27" l="1"/>
  <c r="E22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8B285ED7-194E-4858-BE96-C56FB5B64039}">
      <text>
        <r>
          <rPr>
            <b/>
            <sz val="9"/>
            <color indexed="81"/>
            <rFont val="MS P ゴシック"/>
            <family val="3"/>
            <charset val="128"/>
          </rPr>
          <t>和暦イニシャルを選択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8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軽減判定所得の変更があった場合修正
（AA6とセルAKの列）</t>
        </r>
      </text>
    </comment>
    <comment ref="AK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計算シートで入力した額</t>
        </r>
      </text>
    </comment>
    <comment ref="AL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公的年金等控除額の表から（給与年金調整控除なし）
</t>
        </r>
      </text>
    </comment>
    <comment ref="AM1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計算シートから入力した額</t>
        </r>
      </text>
    </comment>
    <comment ref="AN12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給与所得算出表から（給与年金調整控除なし）</t>
        </r>
      </text>
    </comment>
    <comment ref="AP1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計算シートから入力した額</t>
        </r>
      </text>
    </comment>
    <comment ref="Y17" authorId="0" shapeId="0" xr:uid="{00000000-0006-0000-0100-000007000000}">
      <text>
        <r>
          <rPr>
            <sz val="12"/>
            <color indexed="81"/>
            <rFont val="ＭＳ Ｐゴシック"/>
            <family val="3"/>
            <charset val="128"/>
          </rPr>
          <t>軽減判定所得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<sst xmlns="http://schemas.openxmlformats.org/spreadsheetml/2006/main" count="227" uniqueCount="153">
  <si>
    <t>（給与収入金額）</t>
    <rPh sb="1" eb="3">
      <t>キュウヨ</t>
    </rPh>
    <rPh sb="3" eb="5">
      <t>シュウニュウ</t>
    </rPh>
    <rPh sb="5" eb="7">
      <t>キンガク</t>
    </rPh>
    <phoneticPr fontId="2"/>
  </si>
  <si>
    <t>控除後所得</t>
    <rPh sb="0" eb="2">
      <t>コウジョ</t>
    </rPh>
    <rPh sb="2" eb="3">
      <t>ゴ</t>
    </rPh>
    <rPh sb="3" eb="5">
      <t>ショトク</t>
    </rPh>
    <phoneticPr fontId="2"/>
  </si>
  <si>
    <t>氏　　名</t>
    <rPh sb="0" eb="1">
      <t>シ</t>
    </rPh>
    <rPh sb="3" eb="4">
      <t>メイ</t>
    </rPh>
    <phoneticPr fontId="2"/>
  </si>
  <si>
    <t>（年金収入金額）</t>
    <rPh sb="1" eb="3">
      <t>ネンキン</t>
    </rPh>
    <rPh sb="3" eb="5">
      <t>シュウニュウ</t>
    </rPh>
    <rPh sb="5" eb="7">
      <t>キンガク</t>
    </rPh>
    <phoneticPr fontId="2"/>
  </si>
  <si>
    <t>営業所得</t>
    <rPh sb="0" eb="2">
      <t>エイギョウ</t>
    </rPh>
    <rPh sb="2" eb="4">
      <t>ショトク</t>
    </rPh>
    <phoneticPr fontId="2"/>
  </si>
  <si>
    <t>その他事業</t>
    <rPh sb="2" eb="3">
      <t>タ</t>
    </rPh>
    <rPh sb="3" eb="5">
      <t>ジギョウ</t>
    </rPh>
    <phoneticPr fontId="2"/>
  </si>
  <si>
    <t>一時所得</t>
    <rPh sb="0" eb="2">
      <t>イチジ</t>
    </rPh>
    <rPh sb="2" eb="4">
      <t>ショトク</t>
    </rPh>
    <phoneticPr fontId="2"/>
  </si>
  <si>
    <t>専従者給与</t>
    <rPh sb="0" eb="3">
      <t>センジュウシャ</t>
    </rPh>
    <rPh sb="3" eb="5">
      <t>キュウヨ</t>
    </rPh>
    <phoneticPr fontId="2"/>
  </si>
  <si>
    <t>山林所得</t>
    <rPh sb="0" eb="2">
      <t>サンリン</t>
    </rPh>
    <rPh sb="2" eb="4">
      <t>ショトク</t>
    </rPh>
    <phoneticPr fontId="2"/>
  </si>
  <si>
    <t>不動産・配当</t>
    <rPh sb="0" eb="3">
      <t>フドウサン</t>
    </rPh>
    <rPh sb="4" eb="6">
      <t>ハイトウ</t>
    </rPh>
    <phoneticPr fontId="2"/>
  </si>
  <si>
    <t>農業所得</t>
    <rPh sb="0" eb="2">
      <t>ノウギョウ</t>
    </rPh>
    <rPh sb="2" eb="4">
      <t>ショトク</t>
    </rPh>
    <phoneticPr fontId="2"/>
  </si>
  <si>
    <t>総合譲渡</t>
    <rPh sb="0" eb="2">
      <t>ソウゴウ</t>
    </rPh>
    <rPh sb="2" eb="4">
      <t>ジョウト</t>
    </rPh>
    <phoneticPr fontId="2"/>
  </si>
  <si>
    <t>免牛所得</t>
    <rPh sb="0" eb="1">
      <t>メン</t>
    </rPh>
    <rPh sb="1" eb="2">
      <t>ギュウ</t>
    </rPh>
    <rPh sb="2" eb="4">
      <t>ショトク</t>
    </rPh>
    <phoneticPr fontId="2"/>
  </si>
  <si>
    <t>非課税所得</t>
    <rPh sb="0" eb="3">
      <t>ヒカゼイ</t>
    </rPh>
    <rPh sb="3" eb="5">
      <t>ショトク</t>
    </rPh>
    <phoneticPr fontId="2"/>
  </si>
  <si>
    <t>分離譲渡</t>
    <rPh sb="0" eb="2">
      <t>ブンリ</t>
    </rPh>
    <rPh sb="2" eb="4">
      <t>ジョウト</t>
    </rPh>
    <phoneticPr fontId="2"/>
  </si>
  <si>
    <t>損失調整</t>
    <rPh sb="0" eb="2">
      <t>ソンシツ</t>
    </rPh>
    <rPh sb="2" eb="4">
      <t>チョウセイ</t>
    </rPh>
    <phoneticPr fontId="2"/>
  </si>
  <si>
    <t>損失繰越</t>
    <rPh sb="0" eb="2">
      <t>ソンシツ</t>
    </rPh>
    <rPh sb="2" eb="3">
      <t>ク</t>
    </rPh>
    <rPh sb="3" eb="4">
      <t>コ</t>
    </rPh>
    <phoneticPr fontId="2"/>
  </si>
  <si>
    <t>総所得金額</t>
    <rPh sb="0" eb="3">
      <t>ソウショトク</t>
    </rPh>
    <rPh sb="3" eb="5">
      <t>キンガク</t>
    </rPh>
    <phoneticPr fontId="2"/>
  </si>
  <si>
    <t>課税標準額</t>
    <rPh sb="0" eb="2">
      <t>カゼイ</t>
    </rPh>
    <rPh sb="2" eb="5">
      <t>ヒョウジュンガク</t>
    </rPh>
    <phoneticPr fontId="2"/>
  </si>
  <si>
    <t>世帯区分</t>
    <rPh sb="0" eb="2">
      <t>セタイ</t>
    </rPh>
    <rPh sb="2" eb="4">
      <t>クブン</t>
    </rPh>
    <phoneticPr fontId="2"/>
  </si>
  <si>
    <t>所得</t>
    <rPh sb="0" eb="2">
      <t>ショトク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</si>
  <si>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</si>
  <si>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2">
      <t>キントウ</t>
    </rPh>
    <rPh sb="2" eb="3">
      <t>ワ</t>
    </rPh>
    <phoneticPr fontId="2"/>
  </si>
  <si>
    <t>平等割</t>
    <rPh sb="0" eb="2">
      <t>ビョウドウ</t>
    </rPh>
    <rPh sb="2" eb="3">
      <t>ワリ</t>
    </rPh>
    <phoneticPr fontId="2"/>
  </si>
  <si>
    <t>税　　率</t>
    <rPh sb="0" eb="1">
      <t>ゼイ</t>
    </rPh>
    <rPh sb="3" eb="4">
      <t>リツ</t>
    </rPh>
    <phoneticPr fontId="2"/>
  </si>
  <si>
    <t>税額</t>
    <rPh sb="0" eb="2">
      <t>ゼイガク</t>
    </rPh>
    <phoneticPr fontId="2"/>
  </si>
  <si>
    <t>人員</t>
    <rPh sb="0" eb="2">
      <t>ジンイン</t>
    </rPh>
    <phoneticPr fontId="2"/>
  </si>
  <si>
    <t>算出税額</t>
    <rPh sb="0" eb="2">
      <t>サンシュツ</t>
    </rPh>
    <rPh sb="2" eb="4">
      <t>ゼイガク</t>
    </rPh>
    <phoneticPr fontId="2"/>
  </si>
  <si>
    <t>差引税額</t>
    <rPh sb="0" eb="2">
      <t>サシヒキ</t>
    </rPh>
    <rPh sb="2" eb="4">
      <t>ゼイガク</t>
    </rPh>
    <phoneticPr fontId="2"/>
  </si>
  <si>
    <t>月数</t>
    <rPh sb="0" eb="1">
      <t>ツキ</t>
    </rPh>
    <rPh sb="1" eb="2">
      <t>スウ</t>
    </rPh>
    <phoneticPr fontId="2"/>
  </si>
  <si>
    <t>月割税額</t>
    <rPh sb="0" eb="1">
      <t>ツキ</t>
    </rPh>
    <rPh sb="1" eb="2">
      <t>ワリ</t>
    </rPh>
    <rPh sb="2" eb="4">
      <t>ゼイガク</t>
    </rPh>
    <phoneticPr fontId="2"/>
  </si>
  <si>
    <t>減免額</t>
    <rPh sb="0" eb="2">
      <t>ゲンメン</t>
    </rPh>
    <rPh sb="2" eb="3">
      <t>ガク</t>
    </rPh>
    <phoneticPr fontId="2"/>
  </si>
  <si>
    <t>計</t>
    <rPh sb="0" eb="1">
      <t>ケイ</t>
    </rPh>
    <phoneticPr fontId="2"/>
  </si>
  <si>
    <t>年税額</t>
    <rPh sb="0" eb="1">
      <t>ネン</t>
    </rPh>
    <rPh sb="1" eb="2">
      <t>ゼイ</t>
    </rPh>
    <rPh sb="2" eb="3">
      <t>ガク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</si>
  <si>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</si>
  <si>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</si>
  <si>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</si>
  <si>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</si>
  <si>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t>第５期</t>
    <rPh sb="0" eb="1">
      <t>ダイ</t>
    </rPh>
    <rPh sb="2" eb="3">
      <t>キ</t>
    </rPh>
    <phoneticPr fontId="2"/>
  </si>
  <si>
    <t>第６期</t>
    <rPh sb="0" eb="1">
      <t>ダイ</t>
    </rPh>
    <rPh sb="2" eb="3">
      <t>キ</t>
    </rPh>
    <phoneticPr fontId="2"/>
  </si>
  <si>
    <t>過年度分</t>
    <rPh sb="0" eb="3">
      <t>カネンド</t>
    </rPh>
    <rPh sb="3" eb="4">
      <t>ブン</t>
    </rPh>
    <phoneticPr fontId="2"/>
  </si>
  <si>
    <t>雑所得</t>
    <rPh sb="0" eb="3">
      <t>ザツショトク</t>
    </rPh>
    <phoneticPr fontId="2"/>
  </si>
  <si>
    <t>普</t>
    <rPh sb="0" eb="1">
      <t>フ</t>
    </rPh>
    <phoneticPr fontId="2"/>
  </si>
  <si>
    <t>超過限度額</t>
    <rPh sb="0" eb="1">
      <t>チョウ</t>
    </rPh>
    <rPh sb="1" eb="2">
      <t>カ</t>
    </rPh>
    <rPh sb="2" eb="5">
      <t>ゲンドガク</t>
    </rPh>
    <phoneticPr fontId="2"/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</si>
  <si>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</si>
  <si>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</si>
  <si>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軽減割合</t>
    <rPh sb="0" eb="2">
      <t>ケイゲン</t>
    </rPh>
    <rPh sb="2" eb="4">
      <t>ワリアイ</t>
    </rPh>
    <phoneticPr fontId="2"/>
  </si>
  <si>
    <t>軽減該当減額</t>
    <rPh sb="0" eb="2">
      <t>ケイゲン</t>
    </rPh>
    <rPh sb="2" eb="4">
      <t>ガイトウ</t>
    </rPh>
    <rPh sb="4" eb="6">
      <t>ゲンガク</t>
    </rPh>
    <phoneticPr fontId="2"/>
  </si>
  <si>
    <t>●医療分</t>
    <rPh sb="1" eb="3">
      <t>イリョウ</t>
    </rPh>
    <rPh sb="3" eb="4">
      <t>ブン</t>
    </rPh>
    <phoneticPr fontId="2"/>
  </si>
  <si>
    <t>●介護分</t>
    <rPh sb="1" eb="3">
      <t>カイゴ</t>
    </rPh>
    <rPh sb="3" eb="4">
      <t>ブン</t>
    </rPh>
    <phoneticPr fontId="2"/>
  </si>
  <si>
    <t>/100</t>
    <phoneticPr fontId="2"/>
  </si>
  <si>
    <t>生年月日</t>
    <rPh sb="0" eb="2">
      <t>セイネン</t>
    </rPh>
    <rPh sb="2" eb="4">
      <t>ガッピ</t>
    </rPh>
    <phoneticPr fontId="2"/>
  </si>
  <si>
    <t>基準日</t>
    <rPh sb="0" eb="3">
      <t>キジュンビ</t>
    </rPh>
    <phoneticPr fontId="2"/>
  </si>
  <si>
    <t>所得額</t>
    <rPh sb="0" eb="2">
      <t>ショトク</t>
    </rPh>
    <rPh sb="2" eb="3">
      <t>ガク</t>
    </rPh>
    <phoneticPr fontId="2"/>
  </si>
  <si>
    <t>公的年金等控除額</t>
    <rPh sb="0" eb="2">
      <t>コウテキ</t>
    </rPh>
    <rPh sb="2" eb="4">
      <t>ネンキン</t>
    </rPh>
    <rPh sb="4" eb="5">
      <t>トウ</t>
    </rPh>
    <rPh sb="5" eb="8">
      <t>コウジョガク</t>
    </rPh>
    <phoneticPr fontId="2"/>
  </si>
  <si>
    <t>年齢</t>
    <rPh sb="0" eb="2">
      <t>ネンレイ</t>
    </rPh>
    <phoneticPr fontId="2"/>
  </si>
  <si>
    <t>介護区分</t>
    <rPh sb="0" eb="2">
      <t>カイゴ</t>
    </rPh>
    <rPh sb="2" eb="4">
      <t>クブン</t>
    </rPh>
    <phoneticPr fontId="2"/>
  </si>
  <si>
    <t>隠し行</t>
    <rPh sb="0" eb="1">
      <t>カク</t>
    </rPh>
    <rPh sb="2" eb="3">
      <t>ギョウ</t>
    </rPh>
    <phoneticPr fontId="2"/>
  </si>
  <si>
    <t>７割軽減</t>
    <rPh sb="1" eb="2">
      <t>ワリ</t>
    </rPh>
    <rPh sb="2" eb="4">
      <t>ケイゲン</t>
    </rPh>
    <phoneticPr fontId="2"/>
  </si>
  <si>
    <t>人</t>
    <rPh sb="0" eb="1">
      <t>ニン</t>
    </rPh>
    <phoneticPr fontId="2"/>
  </si>
  <si>
    <t xml:space="preserve">５割軽減 </t>
    <rPh sb="1" eb="2">
      <t>ワリ</t>
    </rPh>
    <rPh sb="2" eb="4">
      <t>ケイゲン</t>
    </rPh>
    <phoneticPr fontId="2"/>
  </si>
  <si>
    <t xml:space="preserve">２割軽減 </t>
    <rPh sb="1" eb="2">
      <t>ワリ</t>
    </rPh>
    <rPh sb="2" eb="4">
      <t>ケイゲン</t>
    </rPh>
    <phoneticPr fontId="2"/>
  </si>
  <si>
    <t>人      員</t>
    <rPh sb="0" eb="1">
      <t>ヒト</t>
    </rPh>
    <rPh sb="7" eb="8">
      <t>イン</t>
    </rPh>
    <phoneticPr fontId="2"/>
  </si>
  <si>
    <t>被保人員</t>
    <rPh sb="0" eb="1">
      <t>ヒ</t>
    </rPh>
    <rPh sb="1" eb="2">
      <t>ホ</t>
    </rPh>
    <rPh sb="2" eb="4">
      <t>ジンイン</t>
    </rPh>
    <phoneticPr fontId="2"/>
  </si>
  <si>
    <t>給与収入
（総支給額）</t>
    <rPh sb="0" eb="2">
      <t>キュウヨ</t>
    </rPh>
    <rPh sb="2" eb="4">
      <t>シュウニュウ</t>
    </rPh>
    <rPh sb="6" eb="7">
      <t>ソウ</t>
    </rPh>
    <rPh sb="7" eb="9">
      <t>シキュウ</t>
    </rPh>
    <rPh sb="9" eb="10">
      <t>ガク</t>
    </rPh>
    <phoneticPr fontId="2"/>
  </si>
  <si>
    <t>年金収入
（収入金額）</t>
    <rPh sb="0" eb="2">
      <t>ネンキン</t>
    </rPh>
    <rPh sb="2" eb="4">
      <t>シュウニュウ</t>
    </rPh>
    <rPh sb="6" eb="8">
      <t>シュウニュウ</t>
    </rPh>
    <rPh sb="8" eb="10">
      <t>キンガク</t>
    </rPh>
    <phoneticPr fontId="2"/>
  </si>
  <si>
    <t>その他所得
（所得金額）</t>
    <rPh sb="2" eb="3">
      <t>タ</t>
    </rPh>
    <rPh sb="3" eb="5">
      <t>ショトク</t>
    </rPh>
    <rPh sb="7" eb="9">
      <t>ショトク</t>
    </rPh>
    <rPh sb="9" eb="11">
      <t>キンガク</t>
    </rPh>
    <phoneticPr fontId="2"/>
  </si>
  <si>
    <t>国民健康保険税の試算表</t>
    <rPh sb="0" eb="2">
      <t>コクミン</t>
    </rPh>
    <rPh sb="2" eb="4">
      <t>ケンコウ</t>
    </rPh>
    <rPh sb="4" eb="6">
      <t>ホケン</t>
    </rPh>
    <rPh sb="6" eb="7">
      <t>ゼイ</t>
    </rPh>
    <rPh sb="8" eb="10">
      <t>シサン</t>
    </rPh>
    <rPh sb="10" eb="11">
      <t>ヒョウ</t>
    </rPh>
    <phoneticPr fontId="2"/>
  </si>
  <si>
    <t>兵庫県豊岡市</t>
    <rPh sb="0" eb="3">
      <t>ヒョウゴケン</t>
    </rPh>
    <rPh sb="3" eb="6">
      <t>トヨオカシ</t>
    </rPh>
    <phoneticPr fontId="2"/>
  </si>
  <si>
    <r>
      <t xml:space="preserve">加入者
</t>
    </r>
    <r>
      <rPr>
        <b/>
        <sz val="8"/>
        <color indexed="10"/>
        <rFont val="ＭＳ Ｐゴシック"/>
        <family val="3"/>
        <charset val="128"/>
      </rPr>
      <t>(所得のある人
のみ入力）</t>
    </r>
    <rPh sb="0" eb="3">
      <t>カニュウシャ</t>
    </rPh>
    <rPh sb="5" eb="7">
      <t>ショトク</t>
    </rPh>
    <rPh sb="10" eb="11">
      <t>ヒト</t>
    </rPh>
    <rPh sb="14" eb="16">
      <t>ニュウリョク</t>
    </rPh>
    <phoneticPr fontId="2"/>
  </si>
  <si>
    <r>
      <t xml:space="preserve">国民健康保険加入者の人数
</t>
    </r>
    <r>
      <rPr>
        <b/>
        <sz val="11"/>
        <rFont val="ＭＳ Ｐゴシック"/>
        <family val="3"/>
        <charset val="128"/>
      </rPr>
      <t>（医療分対象者数）</t>
    </r>
    <rPh sb="0" eb="2">
      <t>コクミン</t>
    </rPh>
    <rPh sb="2" eb="4">
      <t>ケンコウ</t>
    </rPh>
    <rPh sb="4" eb="6">
      <t>ホケン</t>
    </rPh>
    <rPh sb="6" eb="8">
      <t>カニュウ</t>
    </rPh>
    <rPh sb="8" eb="9">
      <t>シャ</t>
    </rPh>
    <rPh sb="10" eb="11">
      <t>ニン</t>
    </rPh>
    <rPh sb="11" eb="12">
      <t>カズ</t>
    </rPh>
    <rPh sb="14" eb="16">
      <t>イリョウ</t>
    </rPh>
    <rPh sb="16" eb="17">
      <t>ブン</t>
    </rPh>
    <rPh sb="17" eb="20">
      <t>タイショウシャ</t>
    </rPh>
    <rPh sb="20" eb="21">
      <t>スウ</t>
    </rPh>
    <phoneticPr fontId="2"/>
  </si>
  <si>
    <t>国保年税額</t>
    <rPh sb="0" eb="2">
      <t>コクホ</t>
    </rPh>
    <rPh sb="2" eb="5">
      <t>ネンゼイガク</t>
    </rPh>
    <phoneticPr fontId="2"/>
  </si>
  <si>
    <t>　うち介護分</t>
    <rPh sb="3" eb="5">
      <t>カイゴ</t>
    </rPh>
    <rPh sb="5" eb="6">
      <t>ブン</t>
    </rPh>
    <phoneticPr fontId="2"/>
  </si>
  <si>
    <t>内　　訳</t>
    <rPh sb="0" eb="1">
      <t>ウチ</t>
    </rPh>
    <rPh sb="3" eb="4">
      <t>ヤク</t>
    </rPh>
    <phoneticPr fontId="2"/>
  </si>
  <si>
    <r>
      <t>上記のうち40歳～64歳の方の人数
　　　</t>
    </r>
    <r>
      <rPr>
        <b/>
        <sz val="11"/>
        <rFont val="ＭＳ Ｐゴシック"/>
        <family val="3"/>
        <charset val="128"/>
      </rPr>
      <t>（介護分対象者数）</t>
    </r>
    <rPh sb="0" eb="2">
      <t>ジョウキ</t>
    </rPh>
    <rPh sb="7" eb="8">
      <t>サイ</t>
    </rPh>
    <rPh sb="11" eb="12">
      <t>サイ</t>
    </rPh>
    <rPh sb="13" eb="14">
      <t>カタ</t>
    </rPh>
    <rPh sb="15" eb="17">
      <t>ニンズウ</t>
    </rPh>
    <rPh sb="22" eb="24">
      <t>カイゴ</t>
    </rPh>
    <rPh sb="24" eb="25">
      <t>ブン</t>
    </rPh>
    <rPh sb="25" eb="28">
      <t>タイショウシャ</t>
    </rPh>
    <rPh sb="28" eb="29">
      <t>スウ</t>
    </rPh>
    <phoneticPr fontId="2"/>
  </si>
  <si>
    <r>
      <t>※番号順に</t>
    </r>
    <r>
      <rPr>
        <b/>
        <sz val="11"/>
        <color indexed="10"/>
        <rFont val="ＭＳ Ｐゴシック"/>
        <family val="3"/>
        <charset val="128"/>
      </rPr>
      <t>赤枠セル内</t>
    </r>
    <r>
      <rPr>
        <b/>
        <sz val="11"/>
        <rFont val="ＭＳ Ｐゴシック"/>
        <family val="3"/>
        <charset val="128"/>
      </rPr>
      <t>を選択または入力してください。</t>
    </r>
    <rPh sb="1" eb="3">
      <t>バンゴウ</t>
    </rPh>
    <rPh sb="3" eb="4">
      <t>ジュン</t>
    </rPh>
    <rPh sb="5" eb="6">
      <t>アカ</t>
    </rPh>
    <rPh sb="6" eb="7">
      <t>ワク</t>
    </rPh>
    <rPh sb="9" eb="10">
      <t>ナイ</t>
    </rPh>
    <rPh sb="11" eb="13">
      <t>センタク</t>
    </rPh>
    <rPh sb="16" eb="18">
      <t>ニュウリョク</t>
    </rPh>
    <phoneticPr fontId="2"/>
  </si>
  <si>
    <t>介護</t>
    <rPh sb="0" eb="2">
      <t>カイゴ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</si>
  <si>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</si>
  <si>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支援金分</t>
    <rPh sb="0" eb="2">
      <t>シエン</t>
    </rPh>
    <rPh sb="2" eb="3">
      <t>キン</t>
    </rPh>
    <rPh sb="3" eb="4">
      <t>ブン</t>
    </rPh>
    <phoneticPr fontId="2"/>
  </si>
  <si>
    <t>区　　分</t>
    <rPh sb="0" eb="1">
      <t>ク</t>
    </rPh>
    <rPh sb="3" eb="4">
      <t>ブン</t>
    </rPh>
    <phoneticPr fontId="2"/>
  </si>
  <si>
    <t>均等割額
（被保険者１人あたり）</t>
    <rPh sb="0" eb="3">
      <t>キントウワリ</t>
    </rPh>
    <rPh sb="3" eb="4">
      <t>ガク</t>
    </rPh>
    <rPh sb="6" eb="10">
      <t>ヒホケンシャ</t>
    </rPh>
    <rPh sb="10" eb="12">
      <t>ヒトリ</t>
    </rPh>
    <phoneticPr fontId="2"/>
  </si>
  <si>
    <t>平等割額
（１世帯あたり）</t>
    <rPh sb="0" eb="2">
      <t>ビョウドウ</t>
    </rPh>
    <rPh sb="2" eb="3">
      <t>ワリ</t>
    </rPh>
    <rPh sb="3" eb="4">
      <t>ガク</t>
    </rPh>
    <rPh sb="7" eb="9">
      <t>セタイ</t>
    </rPh>
    <phoneticPr fontId="2"/>
  </si>
  <si>
    <t>元号</t>
    <rPh sb="0" eb="2">
      <t>ゲンゴウ</t>
    </rPh>
    <phoneticPr fontId="2"/>
  </si>
  <si>
    <t>始まった日</t>
    <rPh sb="0" eb="1">
      <t>ハジ</t>
    </rPh>
    <rPh sb="4" eb="5">
      <t>ヒ</t>
    </rPh>
    <phoneticPr fontId="2"/>
  </si>
  <si>
    <t>基数</t>
    <rPh sb="0" eb="2">
      <t>キスウ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</si>
  <si>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</si>
  <si>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</si>
  <si>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</si>
  <si>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</si>
  <si>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ヶ月</t>
    <rPh sb="1" eb="2">
      <t>ゲツ</t>
    </rPh>
    <phoneticPr fontId="2"/>
  </si>
  <si>
    <t>①　加入月数</t>
    <rPh sb="2" eb="4">
      <t>カニュウ</t>
    </rPh>
    <rPh sb="4" eb="5">
      <t>ツキ</t>
    </rPh>
    <rPh sb="5" eb="6">
      <t>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</si>
  <si>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</si>
  <si>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</si>
  <si>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</si>
  <si>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M</t>
    <phoneticPr fontId="2"/>
  </si>
  <si>
    <t>人</t>
    <rPh sb="0" eb="1">
      <t>ヒト</t>
    </rPh>
    <phoneticPr fontId="2"/>
  </si>
  <si>
    <t>国民健康保険税税率表</t>
  </si>
  <si>
    <t>税率版</t>
  </si>
  <si>
    <t>　うち医療分</t>
    <rPh sb="3" eb="5">
      <t>イリョウ</t>
    </rPh>
    <rPh sb="5" eb="6">
      <t>ブン</t>
    </rPh>
    <phoneticPr fontId="2"/>
  </si>
  <si>
    <t>　うち支援金分</t>
    <rPh sb="3" eb="6">
      <t>シエンキン</t>
    </rPh>
    <rPh sb="6" eb="7">
      <t>ブン</t>
    </rPh>
    <phoneticPr fontId="2"/>
  </si>
  <si>
    <t>●支援金分</t>
    <rPh sb="1" eb="4">
      <t>シエンキン</t>
    </rPh>
    <rPh sb="4" eb="5">
      <t>ブン</t>
    </rPh>
    <phoneticPr fontId="2"/>
  </si>
  <si>
    <r>
      <t>注意</t>
    </r>
    <r>
      <rPr>
        <b/>
        <sz val="11"/>
        <color indexed="12"/>
        <rFont val="ＭＳ Ｐゴシック"/>
        <family val="3"/>
        <charset val="128"/>
      </rPr>
      <t>：本計算結果は、概算額です。正式な金額は、納税通知書でご確認ください。</t>
    </r>
    <rPh sb="0" eb="2">
      <t>チュウイ</t>
    </rPh>
    <rPh sb="3" eb="4">
      <t>ホン</t>
    </rPh>
    <rPh sb="4" eb="6">
      <t>ケイサン</t>
    </rPh>
    <rPh sb="6" eb="8">
      <t>ケッカ</t>
    </rPh>
    <rPh sb="10" eb="12">
      <t>ガイサン</t>
    </rPh>
    <rPh sb="12" eb="13">
      <t>ガク</t>
    </rPh>
    <rPh sb="16" eb="18">
      <t>セイシキ</t>
    </rPh>
    <rPh sb="19" eb="21">
      <t>キンガク</t>
    </rPh>
    <rPh sb="23" eb="25">
      <t>ノウゼイ</t>
    </rPh>
    <rPh sb="25" eb="27">
      <t>ツウチ</t>
    </rPh>
    <rPh sb="27" eb="28">
      <t>ショ</t>
    </rPh>
    <rPh sb="30" eb="32">
      <t>カクニン</t>
    </rPh>
    <phoneticPr fontId="2"/>
  </si>
  <si>
    <r>
      <rPr>
        <b/>
        <sz val="11"/>
        <color theme="0"/>
        <rFont val="ＭＳ Ｐゴシック"/>
        <family val="3"/>
        <charset val="128"/>
      </rPr>
      <t>注意</t>
    </r>
    <r>
      <rPr>
        <b/>
        <sz val="11"/>
        <color indexed="12"/>
        <rFont val="ＭＳ Ｐゴシック"/>
        <family val="3"/>
        <charset val="128"/>
      </rPr>
      <t>：年度途中で40歳又は65歳になられる方は、介護分が正しく計算されませんのでご注意ください。</t>
    </r>
    <rPh sb="0" eb="2">
      <t>チュウイ</t>
    </rPh>
    <rPh sb="3" eb="5">
      <t>ネンド</t>
    </rPh>
    <rPh sb="5" eb="7">
      <t>トチュウ</t>
    </rPh>
    <rPh sb="10" eb="11">
      <t>サイ</t>
    </rPh>
    <rPh sb="11" eb="12">
      <t>マタ</t>
    </rPh>
    <rPh sb="15" eb="16">
      <t>サイ</t>
    </rPh>
    <rPh sb="21" eb="22">
      <t>カタ</t>
    </rPh>
    <rPh sb="24" eb="26">
      <t>カイゴ</t>
    </rPh>
    <rPh sb="26" eb="27">
      <t>ブン</t>
    </rPh>
    <rPh sb="28" eb="29">
      <t>タダ</t>
    </rPh>
    <rPh sb="31" eb="33">
      <t>ケイサン</t>
    </rPh>
    <rPh sb="41" eb="43">
      <t>チュウイ</t>
    </rPh>
    <phoneticPr fontId="2"/>
  </si>
  <si>
    <t>軽減区分：</t>
    <rPh sb="0" eb="2">
      <t>ケイゲン</t>
    </rPh>
    <rPh sb="2" eb="4">
      <t>クブン</t>
    </rPh>
    <phoneticPr fontId="2"/>
  </si>
  <si>
    <t>令和</t>
    <rPh sb="0" eb="2">
      <t>レイワ</t>
    </rPh>
    <phoneticPr fontId="2"/>
  </si>
  <si>
    <t>Ｒ</t>
    <phoneticPr fontId="2"/>
  </si>
  <si>
    <t>所得区分表</t>
    <rPh sb="0" eb="2">
      <t>ショトク</t>
    </rPh>
    <rPh sb="2" eb="5">
      <t>クブンヒョウ</t>
    </rPh>
    <phoneticPr fontId="2"/>
  </si>
  <si>
    <t>Vlookの列数</t>
    <rPh sb="6" eb="8">
      <t>レツスウ</t>
    </rPh>
    <phoneticPr fontId="2"/>
  </si>
  <si>
    <t>公的年金控除額表の中の</t>
    <rPh sb="0" eb="4">
      <t>コウテキネンキン</t>
    </rPh>
    <rPh sb="4" eb="6">
      <t>コウジョ</t>
    </rPh>
    <rPh sb="6" eb="7">
      <t>ガク</t>
    </rPh>
    <rPh sb="7" eb="8">
      <t>ヒョウ</t>
    </rPh>
    <rPh sb="9" eb="10">
      <t>ナカ</t>
    </rPh>
    <phoneticPr fontId="2"/>
  </si>
  <si>
    <t>率</t>
    <rPh sb="0" eb="1">
      <t>リツ</t>
    </rPh>
    <phoneticPr fontId="2"/>
  </si>
  <si>
    <t>1000万以下</t>
    <rPh sb="4" eb="5">
      <t>マン</t>
    </rPh>
    <rPh sb="5" eb="7">
      <t>イカ</t>
    </rPh>
    <phoneticPr fontId="2"/>
  </si>
  <si>
    <t>1000万超2000万以下</t>
    <rPh sb="4" eb="6">
      <t>マンコ</t>
    </rPh>
    <rPh sb="10" eb="11">
      <t>マン</t>
    </rPh>
    <rPh sb="11" eb="13">
      <t>イカ</t>
    </rPh>
    <phoneticPr fontId="2"/>
  </si>
  <si>
    <t>2000万超</t>
    <rPh sb="4" eb="5">
      <t>マン</t>
    </rPh>
    <rPh sb="5" eb="6">
      <t>コ</t>
    </rPh>
    <phoneticPr fontId="2"/>
  </si>
  <si>
    <t>控除額</t>
    <rPh sb="0" eb="2">
      <t>コウジョ</t>
    </rPh>
    <rPh sb="2" eb="3">
      <t>ガク</t>
    </rPh>
    <phoneticPr fontId="2"/>
  </si>
  <si>
    <t>年金額（65歳以上）</t>
    <rPh sb="0" eb="3">
      <t>ネンキンガク</t>
    </rPh>
    <rPh sb="6" eb="7">
      <t>サイ</t>
    </rPh>
    <rPh sb="7" eb="9">
      <t>イジョウ</t>
    </rPh>
    <phoneticPr fontId="2"/>
  </si>
  <si>
    <t>年金額（65歳未満）</t>
    <rPh sb="0" eb="3">
      <t>ネンキンガク</t>
    </rPh>
    <rPh sb="6" eb="7">
      <t>サイ</t>
    </rPh>
    <rPh sb="7" eb="9">
      <t>ミマン</t>
    </rPh>
    <phoneticPr fontId="2"/>
  </si>
  <si>
    <t>雑所得</t>
    <rPh sb="0" eb="1">
      <t>ザツ</t>
    </rPh>
    <rPh sb="1" eb="3">
      <t>ショトク</t>
    </rPh>
    <phoneticPr fontId="2"/>
  </si>
  <si>
    <t>給与と雑所得</t>
    <rPh sb="0" eb="2">
      <t>キュウヨ</t>
    </rPh>
    <rPh sb="3" eb="4">
      <t>ザツ</t>
    </rPh>
    <rPh sb="4" eb="6">
      <t>ショトク</t>
    </rPh>
    <phoneticPr fontId="2"/>
  </si>
  <si>
    <t>年金控除後所得</t>
    <rPh sb="0" eb="2">
      <t>ネンキン</t>
    </rPh>
    <rPh sb="2" eb="5">
      <t>コウジョゴ</t>
    </rPh>
    <rPh sb="5" eb="7">
      <t>ショトク</t>
    </rPh>
    <phoneticPr fontId="2"/>
  </si>
  <si>
    <t>年金額</t>
    <rPh sb="0" eb="2">
      <t>ネンキン</t>
    </rPh>
    <rPh sb="2" eb="3">
      <t>ガク</t>
    </rPh>
    <phoneticPr fontId="2"/>
  </si>
  <si>
    <t>年金所得</t>
    <rPh sb="0" eb="2">
      <t>ネンキン</t>
    </rPh>
    <rPh sb="2" eb="4">
      <t>ショトク</t>
    </rPh>
    <phoneticPr fontId="2"/>
  </si>
  <si>
    <t>給与所得</t>
    <rPh sb="0" eb="2">
      <t>キュウヨ</t>
    </rPh>
    <rPh sb="2" eb="4">
      <t>ショトク</t>
    </rPh>
    <phoneticPr fontId="2"/>
  </si>
  <si>
    <t>給与所得と年金所得</t>
    <rPh sb="0" eb="4">
      <t>キュウヨショトク</t>
    </rPh>
    <rPh sb="5" eb="7">
      <t>ネンキン</t>
    </rPh>
    <rPh sb="7" eb="9">
      <t>ショトク</t>
    </rPh>
    <phoneticPr fontId="2"/>
  </si>
  <si>
    <t>調整控除あり</t>
    <rPh sb="0" eb="2">
      <t>チョウセイ</t>
    </rPh>
    <rPh sb="2" eb="4">
      <t>コウジョ</t>
    </rPh>
    <phoneticPr fontId="2"/>
  </si>
  <si>
    <t>給与年金調整控除後年金所得</t>
    <rPh sb="0" eb="2">
      <t>キュウヨ</t>
    </rPh>
    <rPh sb="2" eb="4">
      <t>ネンキン</t>
    </rPh>
    <rPh sb="4" eb="6">
      <t>チョウセイ</t>
    </rPh>
    <rPh sb="6" eb="8">
      <t>コウジョ</t>
    </rPh>
    <rPh sb="8" eb="9">
      <t>ゴ</t>
    </rPh>
    <rPh sb="9" eb="11">
      <t>ネンキン</t>
    </rPh>
    <rPh sb="11" eb="13">
      <t>ショトク</t>
    </rPh>
    <phoneticPr fontId="2"/>
  </si>
  <si>
    <t>給与年金調整控除後給与所得</t>
    <rPh sb="0" eb="2">
      <t>キュウヨ</t>
    </rPh>
    <rPh sb="2" eb="4">
      <t>ネンキン</t>
    </rPh>
    <rPh sb="4" eb="6">
      <t>チョウセイ</t>
    </rPh>
    <rPh sb="6" eb="8">
      <t>コウジョ</t>
    </rPh>
    <rPh sb="8" eb="9">
      <t>ゴ</t>
    </rPh>
    <rPh sb="9" eb="11">
      <t>キュウヨ</t>
    </rPh>
    <rPh sb="11" eb="13">
      <t>ショトク</t>
    </rPh>
    <phoneticPr fontId="2"/>
  </si>
  <si>
    <t>給与収入</t>
    <rPh sb="0" eb="2">
      <t>キュウヨ</t>
    </rPh>
    <rPh sb="2" eb="4">
      <t>シュウニュウ</t>
    </rPh>
    <phoneticPr fontId="2"/>
  </si>
  <si>
    <t>年齢基準(65)</t>
    <rPh sb="0" eb="2">
      <t>ネンレイ</t>
    </rPh>
    <rPh sb="2" eb="4">
      <t>キジュン</t>
    </rPh>
    <phoneticPr fontId="2"/>
  </si>
  <si>
    <t>給与所得算出表</t>
    <rPh sb="0" eb="2">
      <t>キュウヨ</t>
    </rPh>
    <rPh sb="2" eb="4">
      <t>ショトク</t>
    </rPh>
    <rPh sb="4" eb="7">
      <t>サンシュツヒョウ</t>
    </rPh>
    <phoneticPr fontId="2"/>
  </si>
  <si>
    <t>給与収入</t>
    <rPh sb="0" eb="2">
      <t>キュウヨ</t>
    </rPh>
    <rPh sb="2" eb="4">
      <t>シュウニュウ</t>
    </rPh>
    <phoneticPr fontId="2"/>
  </si>
  <si>
    <t>給与年金調整控除額</t>
    <rPh sb="0" eb="2">
      <t>キュウヨ</t>
    </rPh>
    <rPh sb="2" eb="6">
      <t>ネンキンチョウセイ</t>
    </rPh>
    <rPh sb="6" eb="8">
      <t>コウジョ</t>
    </rPh>
    <rPh sb="8" eb="9">
      <t>ガク</t>
    </rPh>
    <phoneticPr fontId="2"/>
  </si>
  <si>
    <t>介護</t>
    <rPh sb="0" eb="2">
      <t>カイゴ</t>
    </rPh>
    <phoneticPr fontId="2"/>
  </si>
  <si>
    <t>軽減判定</t>
    <rPh sb="0" eb="4">
      <t>ケイゲンハンテイ</t>
    </rPh>
    <phoneticPr fontId="2"/>
  </si>
  <si>
    <t>年金所得</t>
    <rPh sb="0" eb="2">
      <t>ネンキン</t>
    </rPh>
    <rPh sb="2" eb="4">
      <t>ショトク</t>
    </rPh>
    <phoneticPr fontId="2"/>
  </si>
  <si>
    <t>給与所得</t>
    <rPh sb="0" eb="2">
      <t>キュウヨ</t>
    </rPh>
    <rPh sb="2" eb="4">
      <t>ショトク</t>
    </rPh>
    <phoneticPr fontId="2"/>
  </si>
  <si>
    <t>保険税の軽減基準額</t>
    <rPh sb="0" eb="3">
      <t>ホケンゼイ</t>
    </rPh>
    <rPh sb="4" eb="6">
      <t>ケイゲン</t>
    </rPh>
    <rPh sb="6" eb="8">
      <t>キジュン</t>
    </rPh>
    <rPh sb="8" eb="9">
      <t>ガク</t>
    </rPh>
    <phoneticPr fontId="2"/>
  </si>
  <si>
    <t>一定の給与所得者</t>
    <rPh sb="0" eb="2">
      <t>イッテイ</t>
    </rPh>
    <rPh sb="3" eb="8">
      <t>キュウヨショトクシャ</t>
    </rPh>
    <phoneticPr fontId="2"/>
  </si>
  <si>
    <t>一定の給与所得者基準額</t>
    <rPh sb="0" eb="2">
      <t>イッテイ</t>
    </rPh>
    <rPh sb="3" eb="8">
      <t>キュウヨショトクシャ</t>
    </rPh>
    <rPh sb="8" eb="10">
      <t>キジュン</t>
    </rPh>
    <rPh sb="10" eb="11">
      <t>ガク</t>
    </rPh>
    <phoneticPr fontId="2"/>
  </si>
  <si>
    <t>年金支給</t>
    <rPh sb="0" eb="2">
      <t>ネンキン</t>
    </rPh>
    <rPh sb="2" eb="4">
      <t>シキュウ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</si>
  <si>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</si>
  <si>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</si>
  <si>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一定の給与所得者数-1</t>
    <rPh sb="0" eb="2">
      <t>イッテイ</t>
    </rPh>
    <rPh sb="3" eb="8">
      <t>キュウヨショトクシャ</t>
    </rPh>
    <rPh sb="8" eb="9">
      <t>スウ</t>
    </rPh>
    <phoneticPr fontId="2"/>
  </si>
  <si>
    <t>×額</t>
    <rPh sb="1" eb="2">
      <t>ガク</t>
    </rPh>
    <phoneticPr fontId="2"/>
  </si>
  <si>
    <t>総所得金額軽減判定基準額</t>
    <rPh sb="0" eb="3">
      <t>ソウショトク</t>
    </rPh>
    <rPh sb="3" eb="5">
      <t>キンガク</t>
    </rPh>
    <rPh sb="5" eb="7">
      <t>ケイゲン</t>
    </rPh>
    <rPh sb="7" eb="9">
      <t>ハンテイ</t>
    </rPh>
    <rPh sb="9" eb="12">
      <t>キジュンガク</t>
    </rPh>
    <phoneticPr fontId="2"/>
  </si>
  <si>
    <t>限度額</t>
    <rPh sb="0" eb="3">
      <t>ゲンドガク</t>
    </rPh>
    <phoneticPr fontId="2"/>
  </si>
  <si>
    <t>65歳以上は1</t>
    <rPh sb="2" eb="5">
      <t>サイイジョウ</t>
    </rPh>
    <phoneticPr fontId="2"/>
  </si>
  <si>
    <t>税額</t>
    <phoneticPr fontId="2"/>
  </si>
  <si>
    <t>※税率表シートのシート保護の解除のパスワード＝「shiminzei」</t>
    <rPh sb="1" eb="4">
      <t>ゼイリツヒョウ</t>
    </rPh>
    <rPh sb="11" eb="13">
      <t>ホゴ</t>
    </rPh>
    <rPh sb="14" eb="16">
      <t>カイジョ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</si>
  <si>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</si>
  <si>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</si>
  <si>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IF($AJ13&lt;&gt;"",IF($AM13&gt;$AO$7,IF($AK13 &gt;HLOOKUP($AJ13,一定の給与所得者年金基準,2,FALSE),1,0),0),0)</t>
    <phoneticPr fontId="2"/>
  </si>
  <si>
    <t>旧式</t>
    <rPh sb="0" eb="1">
      <t>キュウ</t>
    </rPh>
    <rPh sb="1" eb="2">
      <t>シキ</t>
    </rPh>
    <phoneticPr fontId="2"/>
  </si>
  <si>
    <t>生年月日（和暦）</t>
    <rPh sb="5" eb="7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</si>
</sst>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_);[Red]\(0\)"/>
    <numFmt numFmtId="177" formatCode="#/100"/>
    <numFmt numFmtId="178" formatCode="#\ ?/100"/>
    <numFmt numFmtId="179" formatCode="#&quot;人&quot;"/>
    <numFmt numFmtId="180" formatCode="#,##0;&quot;△ &quot;#,##0"/>
    <numFmt numFmtId="181" formatCode="#,##0&quot;月&quot;"/>
    <numFmt numFmtId="182" formatCode="[$-411]ge\.m\.d;@"/>
    <numFmt numFmtId="183" formatCode="#,##0&quot;円&quot;"/>
    <numFmt numFmtId="184" formatCode="\(#,##0&quot;円&quot;\)"/>
    <numFmt numFmtId="185" formatCode="0_ "/>
    <numFmt numFmtId="186" formatCode="[$-411]g"/>
    <numFmt numFmtId="187" formatCode="[$-411]ge&quot;年&quot;&quot;度&quot;&quot;税&quot;&quot;率&quot;"/>
    <numFmt numFmtId="188" formatCode="[$-411]ggge&quot;年度&quot;;@"/>
    <numFmt numFmtId="189" formatCode="[$-411]ggge&quot;年&quot;&quot;度&quot;"/>
    <numFmt numFmtId="190" formatCode="[$-411]ge&quot;年&quot;&quot;度&quot;&quot;に&quot;"/>
    <numFmt numFmtId="191" formatCode="[$-411]ggge&quot;年度に&quot;;@"/>
    <numFmt numFmtId="192" formatCode="0&quot;割軽減&quot;;;&quot;軽減なし&quot;"/>
    <numFmt numFmtId="193" formatCode="#,##0\ 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正楷書体-PRO"/>
      <family val="4"/>
      <charset val="128"/>
    </font>
    <font>
      <sz val="14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14"/>
      <color indexed="12"/>
      <name val="HG創英角ﾎﾟｯﾌﾟ体"/>
      <family val="3"/>
      <charset val="128"/>
    </font>
    <font>
      <b/>
      <sz val="8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 style="thin">
        <color indexed="22"/>
      </left>
      <right/>
      <top style="thick">
        <color indexed="10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78" fontId="0" fillId="0" borderId="0" xfId="0" applyNumberFormat="1"/>
    <xf numFmtId="38" fontId="1" fillId="0" borderId="4" xfId="2" applyBorder="1" applyAlignment="1"/>
    <xf numFmtId="177" fontId="1" fillId="0" borderId="0" xfId="1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7" fillId="0" borderId="14" xfId="2" applyFont="1" applyBorder="1" applyAlignment="1">
      <alignment horizontal="right"/>
    </xf>
    <xf numFmtId="38" fontId="1" fillId="3" borderId="22" xfId="2" applyFill="1" applyBorder="1" applyAlignment="1"/>
    <xf numFmtId="57" fontId="0" fillId="0" borderId="0" xfId="0" applyNumberFormat="1"/>
    <xf numFmtId="38" fontId="1" fillId="3" borderId="23" xfId="2" applyFill="1" applyBorder="1" applyAlignment="1"/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38" fontId="1" fillId="3" borderId="25" xfId="2" applyFill="1" applyBorder="1" applyAlignment="1"/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" fillId="0" borderId="27" xfId="2" applyBorder="1" applyAlignment="1"/>
    <xf numFmtId="38" fontId="1" fillId="0" borderId="26" xfId="2" applyBorder="1" applyAlignment="1"/>
    <xf numFmtId="38" fontId="1" fillId="0" borderId="6" xfId="2" applyBorder="1" applyAlignment="1">
      <alignment horizontal="right"/>
    </xf>
    <xf numFmtId="38" fontId="1" fillId="3" borderId="28" xfId="2" applyFill="1" applyBorder="1" applyAlignment="1"/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38" fontId="1" fillId="0" borderId="26" xfId="2" applyBorder="1" applyAlignment="1">
      <alignment horizontal="right"/>
    </xf>
    <xf numFmtId="38" fontId="1" fillId="3" borderId="30" xfId="2" applyFill="1" applyBorder="1" applyAlignment="1"/>
    <xf numFmtId="38" fontId="1" fillId="0" borderId="24" xfId="2" applyBorder="1" applyAlignment="1"/>
    <xf numFmtId="0" fontId="0" fillId="0" borderId="31" xfId="0" applyBorder="1"/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0" xfId="2" applyFont="1" applyBorder="1" applyAlignment="1"/>
    <xf numFmtId="38" fontId="3" fillId="0" borderId="0" xfId="2" applyFont="1" applyFill="1" applyBorder="1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35" xfId="0" applyFont="1" applyBorder="1" applyAlignment="1">
      <alignment vertical="center"/>
    </xf>
    <xf numFmtId="38" fontId="3" fillId="0" borderId="36" xfId="2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38" fontId="3" fillId="0" borderId="37" xfId="2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38" fontId="1" fillId="3" borderId="22" xfId="2" applyFill="1" applyBorder="1" applyAlignment="1" applyProtection="1">
      <protection locked="0"/>
    </xf>
    <xf numFmtId="38" fontId="1" fillId="3" borderId="38" xfId="2" applyFill="1" applyBorder="1" applyProtection="1">
      <protection locked="0"/>
    </xf>
    <xf numFmtId="38" fontId="1" fillId="3" borderId="36" xfId="2" applyFill="1" applyBorder="1" applyProtection="1">
      <protection locked="0"/>
    </xf>
    <xf numFmtId="38" fontId="1" fillId="3" borderId="39" xfId="2" applyFill="1" applyBorder="1" applyProtection="1">
      <protection locked="0"/>
    </xf>
    <xf numFmtId="38" fontId="1" fillId="3" borderId="40" xfId="2" applyFill="1" applyBorder="1" applyProtection="1">
      <protection locked="0"/>
    </xf>
    <xf numFmtId="38" fontId="1" fillId="3" borderId="28" xfId="2" applyFill="1" applyBorder="1" applyAlignment="1" applyProtection="1">
      <protection locked="0"/>
    </xf>
    <xf numFmtId="0" fontId="3" fillId="0" borderId="0" xfId="0" applyFont="1" applyAlignment="1">
      <alignment horizontal="center" vertical="distributed"/>
    </xf>
    <xf numFmtId="0" fontId="0" fillId="5" borderId="0" xfId="0" applyFill="1"/>
    <xf numFmtId="0" fontId="14" fillId="5" borderId="0" xfId="0" applyFont="1" applyFill="1"/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wrapText="1"/>
    </xf>
    <xf numFmtId="0" fontId="4" fillId="5" borderId="0" xfId="0" applyFont="1" applyFill="1"/>
    <xf numFmtId="0" fontId="4" fillId="6" borderId="14" xfId="0" applyFont="1" applyFill="1" applyBorder="1" applyAlignment="1">
      <alignment horizontal="center" vertical="center" wrapText="1"/>
    </xf>
    <xf numFmtId="180" fontId="0" fillId="7" borderId="14" xfId="0" applyNumberFormat="1" applyFill="1" applyBorder="1" applyAlignment="1" applyProtection="1">
      <alignment vertical="center"/>
      <protection locked="0"/>
    </xf>
    <xf numFmtId="0" fontId="17" fillId="5" borderId="0" xfId="0" applyFont="1" applyFill="1"/>
    <xf numFmtId="0" fontId="4" fillId="6" borderId="29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 wrapText="1"/>
    </xf>
    <xf numFmtId="180" fontId="0" fillId="7" borderId="41" xfId="0" applyNumberFormat="1" applyFill="1" applyBorder="1" applyAlignment="1" applyProtection="1">
      <alignment vertical="center"/>
      <protection locked="0"/>
    </xf>
    <xf numFmtId="180" fontId="0" fillId="7" borderId="42" xfId="0" applyNumberFormat="1" applyFill="1" applyBorder="1" applyAlignment="1" applyProtection="1">
      <alignment vertical="center"/>
      <protection locked="0"/>
    </xf>
    <xf numFmtId="181" fontId="16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18" fillId="0" borderId="0" xfId="0" applyFont="1"/>
    <xf numFmtId="182" fontId="0" fillId="7" borderId="43" xfId="0" applyNumberFormat="1" applyFill="1" applyBorder="1" applyAlignment="1" applyProtection="1">
      <alignment vertical="center"/>
      <protection locked="0"/>
    </xf>
    <xf numFmtId="0" fontId="0" fillId="0" borderId="14" xfId="0" applyBorder="1"/>
    <xf numFmtId="176" fontId="0" fillId="0" borderId="14" xfId="0" applyNumberFormat="1" applyBorder="1"/>
    <xf numFmtId="186" fontId="0" fillId="0" borderId="14" xfId="0" applyNumberFormat="1" applyBorder="1"/>
    <xf numFmtId="14" fontId="0" fillId="0" borderId="14" xfId="0" applyNumberFormat="1" applyBorder="1"/>
    <xf numFmtId="182" fontId="0" fillId="7" borderId="18" xfId="0" applyNumberFormat="1" applyFill="1" applyBorder="1" applyAlignment="1">
      <alignment vertical="center"/>
    </xf>
    <xf numFmtId="0" fontId="0" fillId="7" borderId="16" xfId="0" applyFill="1" applyBorder="1" applyAlignment="1" applyProtection="1">
      <alignment vertical="center"/>
      <protection locked="0"/>
    </xf>
    <xf numFmtId="0" fontId="16" fillId="5" borderId="0" xfId="0" applyFont="1" applyFill="1" applyAlignment="1">
      <alignment vertical="center"/>
    </xf>
    <xf numFmtId="0" fontId="19" fillId="0" borderId="11" xfId="0" applyFont="1" applyBorder="1" applyAlignment="1">
      <alignment horizontal="center" vertical="center"/>
    </xf>
    <xf numFmtId="182" fontId="0" fillId="7" borderId="43" xfId="0" applyNumberFormat="1" applyFill="1" applyBorder="1" applyAlignment="1">
      <alignment vertical="center"/>
    </xf>
    <xf numFmtId="0" fontId="0" fillId="7" borderId="44" xfId="0" applyFill="1" applyBorder="1" applyAlignment="1" applyProtection="1">
      <alignment vertical="center"/>
      <protection locked="0"/>
    </xf>
    <xf numFmtId="182" fontId="0" fillId="7" borderId="45" xfId="0" applyNumberFormat="1" applyFill="1" applyBorder="1" applyAlignment="1">
      <alignment vertical="center"/>
    </xf>
    <xf numFmtId="0" fontId="0" fillId="7" borderId="46" xfId="0" applyFill="1" applyBorder="1" applyAlignment="1" applyProtection="1">
      <alignment vertical="center"/>
      <protection locked="0"/>
    </xf>
    <xf numFmtId="0" fontId="13" fillId="5" borderId="0" xfId="0" applyFont="1" applyFill="1"/>
    <xf numFmtId="49" fontId="9" fillId="7" borderId="47" xfId="0" applyNumberFormat="1" applyFont="1" applyFill="1" applyBorder="1" applyAlignment="1" applyProtection="1">
      <alignment horizontal="center" vertical="center"/>
      <protection locked="0"/>
    </xf>
    <xf numFmtId="185" fontId="0" fillId="7" borderId="48" xfId="0" applyNumberFormat="1" applyFill="1" applyBorder="1" applyAlignment="1" applyProtection="1">
      <alignment vertical="center"/>
      <protection locked="0"/>
    </xf>
    <xf numFmtId="185" fontId="0" fillId="7" borderId="49" xfId="0" applyNumberFormat="1" applyFill="1" applyBorder="1" applyAlignment="1" applyProtection="1">
      <alignment vertical="center"/>
      <protection locked="0"/>
    </xf>
    <xf numFmtId="185" fontId="0" fillId="7" borderId="50" xfId="0" applyNumberFormat="1" applyFill="1" applyBorder="1" applyAlignment="1" applyProtection="1">
      <alignment vertical="center"/>
      <protection locked="0"/>
    </xf>
    <xf numFmtId="187" fontId="4" fillId="0" borderId="0" xfId="0" applyNumberFormat="1" applyFont="1"/>
    <xf numFmtId="0" fontId="0" fillId="8" borderId="14" xfId="0" applyFill="1" applyBorder="1" applyProtection="1">
      <protection locked="0"/>
    </xf>
    <xf numFmtId="57" fontId="0" fillId="8" borderId="1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5" borderId="0" xfId="0" applyFont="1" applyFill="1"/>
    <xf numFmtId="49" fontId="9" fillId="7" borderId="51" xfId="0" applyNumberFormat="1" applyFont="1" applyFill="1" applyBorder="1" applyAlignment="1" applyProtection="1">
      <alignment horizontal="center" vertical="center"/>
      <protection locked="0"/>
    </xf>
    <xf numFmtId="49" fontId="9" fillId="7" borderId="52" xfId="0" applyNumberFormat="1" applyFont="1" applyFill="1" applyBorder="1" applyAlignment="1" applyProtection="1">
      <alignment horizontal="center" vertical="center"/>
      <protection locked="0"/>
    </xf>
    <xf numFmtId="189" fontId="4" fillId="5" borderId="0" xfId="0" applyNumberFormat="1" applyFont="1" applyFill="1" applyProtection="1">
      <protection hidden="1"/>
    </xf>
    <xf numFmtId="0" fontId="0" fillId="9" borderId="16" xfId="0" applyFill="1" applyBorder="1" applyAlignment="1" applyProtection="1">
      <alignment horizontal="center" vertical="center"/>
      <protection hidden="1"/>
    </xf>
    <xf numFmtId="190" fontId="5" fillId="0" borderId="0" xfId="0" applyNumberFormat="1" applyFont="1"/>
    <xf numFmtId="191" fontId="4" fillId="0" borderId="0" xfId="0" applyNumberFormat="1" applyFont="1" applyAlignment="1">
      <alignment horizontal="right"/>
    </xf>
    <xf numFmtId="0" fontId="0" fillId="5" borderId="0" xfId="0" applyFill="1" applyAlignment="1">
      <alignment horizontal="right" vertical="center"/>
    </xf>
    <xf numFmtId="38" fontId="1" fillId="12" borderId="4" xfId="2" applyFill="1" applyBorder="1" applyAlignment="1"/>
    <xf numFmtId="38" fontId="1" fillId="12" borderId="27" xfId="2" applyFill="1" applyBorder="1" applyAlignment="1"/>
    <xf numFmtId="14" fontId="0" fillId="8" borderId="14" xfId="0" applyNumberFormat="1" applyFill="1" applyBorder="1" applyProtection="1">
      <protection locked="0"/>
    </xf>
    <xf numFmtId="38" fontId="0" fillId="0" borderId="0" xfId="0" applyNumberFormat="1"/>
    <xf numFmtId="0" fontId="5" fillId="0" borderId="0" xfId="0" applyFont="1"/>
    <xf numFmtId="38" fontId="3" fillId="0" borderId="0" xfId="2" applyFont="1" applyFill="1" applyBorder="1" applyAlignment="1">
      <alignment vertical="center"/>
    </xf>
    <xf numFmtId="38" fontId="0" fillId="0" borderId="0" xfId="2" applyFont="1"/>
    <xf numFmtId="0" fontId="0" fillId="0" borderId="0" xfId="0" applyAlignment="1">
      <alignment horizontal="right"/>
    </xf>
    <xf numFmtId="38" fontId="0" fillId="0" borderId="14" xfId="2" applyFont="1" applyBorder="1"/>
    <xf numFmtId="38" fontId="0" fillId="0" borderId="14" xfId="0" applyNumberFormat="1" applyBorder="1"/>
    <xf numFmtId="0" fontId="10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8" fontId="1" fillId="0" borderId="14" xfId="2" applyFont="1" applyBorder="1" applyAlignment="1">
      <alignment vertical="center"/>
    </xf>
    <xf numFmtId="38" fontId="1" fillId="0" borderId="20" xfId="2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13" borderId="0" xfId="0" applyFont="1" applyFill="1"/>
    <xf numFmtId="38" fontId="0" fillId="13" borderId="14" xfId="0" applyNumberFormat="1" applyFill="1" applyBorder="1"/>
    <xf numFmtId="38" fontId="0" fillId="0" borderId="14" xfId="2" applyFont="1" applyBorder="1" applyAlignment="1"/>
    <xf numFmtId="38" fontId="3" fillId="0" borderId="0" xfId="2" applyFont="1"/>
    <xf numFmtId="0" fontId="0" fillId="0" borderId="36" xfId="0" applyBorder="1"/>
    <xf numFmtId="38" fontId="0" fillId="0" borderId="36" xfId="2" applyFont="1" applyBorder="1" applyAlignment="1"/>
    <xf numFmtId="38" fontId="0" fillId="0" borderId="36" xfId="2" applyFont="1" applyBorder="1"/>
    <xf numFmtId="0" fontId="0" fillId="0" borderId="73" xfId="0" applyBorder="1"/>
    <xf numFmtId="0" fontId="0" fillId="0" borderId="7" xfId="0" applyBorder="1"/>
    <xf numFmtId="38" fontId="0" fillId="0" borderId="67" xfId="2" applyFont="1" applyBorder="1"/>
    <xf numFmtId="38" fontId="0" fillId="0" borderId="13" xfId="2" applyFont="1" applyBorder="1"/>
    <xf numFmtId="38" fontId="0" fillId="0" borderId="15" xfId="2" applyFont="1" applyBorder="1"/>
    <xf numFmtId="38" fontId="0" fillId="0" borderId="82" xfId="2" applyFont="1" applyBorder="1"/>
    <xf numFmtId="38" fontId="0" fillId="0" borderId="20" xfId="2" applyFont="1" applyBorder="1" applyAlignment="1"/>
    <xf numFmtId="38" fontId="0" fillId="0" borderId="21" xfId="2" applyFont="1" applyBorder="1"/>
    <xf numFmtId="38" fontId="0" fillId="14" borderId="0" xfId="2" applyFont="1" applyFill="1"/>
    <xf numFmtId="38" fontId="3" fillId="0" borderId="22" xfId="2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38" fontId="3" fillId="0" borderId="25" xfId="2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38" fontId="3" fillId="3" borderId="10" xfId="2" applyFont="1" applyFill="1" applyBorder="1" applyAlignment="1">
      <alignment vertical="center"/>
    </xf>
    <xf numFmtId="0" fontId="11" fillId="3" borderId="84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38" fontId="3" fillId="0" borderId="82" xfId="2" applyFont="1" applyFill="1" applyBorder="1" applyAlignment="1">
      <alignment vertical="center"/>
    </xf>
    <xf numFmtId="38" fontId="0" fillId="0" borderId="7" xfId="2" applyFont="1" applyBorder="1" applyAlignment="1"/>
    <xf numFmtId="0" fontId="3" fillId="15" borderId="9" xfId="0" applyFont="1" applyFill="1" applyBorder="1" applyAlignment="1">
      <alignment horizontal="center" vertical="center"/>
    </xf>
    <xf numFmtId="38" fontId="1" fillId="3" borderId="57" xfId="2" applyFill="1" applyBorder="1" applyAlignment="1"/>
    <xf numFmtId="0" fontId="0" fillId="0" borderId="18" xfId="0" applyBorder="1"/>
    <xf numFmtId="38" fontId="1" fillId="3" borderId="29" xfId="2" applyFill="1" applyBorder="1" applyAlignment="1"/>
    <xf numFmtId="38" fontId="1" fillId="3" borderId="36" xfId="2" applyFill="1" applyBorder="1" applyAlignment="1"/>
    <xf numFmtId="38" fontId="1" fillId="3" borderId="35" xfId="2" applyFill="1" applyBorder="1" applyAlignment="1"/>
    <xf numFmtId="0" fontId="26" fillId="0" borderId="0" xfId="0" applyFont="1"/>
    <xf numFmtId="0" fontId="3" fillId="16" borderId="0" xfId="0" applyFont="1" applyFill="1"/>
    <xf numFmtId="0" fontId="3" fillId="16" borderId="24" xfId="0" applyFont="1" applyFill="1" applyBorder="1" applyAlignment="1">
      <alignment horizontal="center" vertical="center"/>
    </xf>
    <xf numFmtId="38" fontId="0" fillId="16" borderId="14" xfId="2" applyFont="1" applyFill="1" applyBorder="1"/>
    <xf numFmtId="38" fontId="26" fillId="0" borderId="0" xfId="2" applyFont="1" applyBorder="1" applyAlignment="1">
      <alignment horizontal="right"/>
    </xf>
    <xf numFmtId="0" fontId="0" fillId="0" borderId="13" xfId="0" applyBorder="1"/>
    <xf numFmtId="0" fontId="0" fillId="0" borderId="15" xfId="0" applyBorder="1"/>
    <xf numFmtId="0" fontId="0" fillId="0" borderId="1" xfId="0" applyBorder="1"/>
    <xf numFmtId="0" fontId="0" fillId="0" borderId="81" xfId="0" applyBorder="1"/>
    <xf numFmtId="38" fontId="0" fillId="0" borderId="2" xfId="2" applyFont="1" applyBorder="1"/>
    <xf numFmtId="38" fontId="7" fillId="0" borderId="36" xfId="2" applyFont="1" applyBorder="1" applyAlignment="1">
      <alignment horizontal="right"/>
    </xf>
    <xf numFmtId="0" fontId="0" fillId="0" borderId="77" xfId="0" applyBorder="1"/>
    <xf numFmtId="0" fontId="0" fillId="0" borderId="78" xfId="0" applyBorder="1"/>
    <xf numFmtId="0" fontId="0" fillId="0" borderId="85" xfId="0" applyBorder="1"/>
    <xf numFmtId="0" fontId="0" fillId="0" borderId="86" xfId="0" applyBorder="1"/>
    <xf numFmtId="38" fontId="7" fillId="0" borderId="1" xfId="2" applyFont="1" applyBorder="1" applyAlignment="1">
      <alignment horizontal="right"/>
    </xf>
    <xf numFmtId="0" fontId="0" fillId="0" borderId="10" xfId="0" applyBorder="1"/>
    <xf numFmtId="0" fontId="0" fillId="0" borderId="69" xfId="0" applyBorder="1"/>
    <xf numFmtId="38" fontId="0" fillId="0" borderId="70" xfId="2" applyFont="1" applyBorder="1"/>
    <xf numFmtId="0" fontId="3" fillId="0" borderId="85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9" xfId="0" applyFont="1" applyBorder="1"/>
    <xf numFmtId="38" fontId="3" fillId="0" borderId="9" xfId="2" applyFont="1" applyBorder="1" applyAlignment="1"/>
    <xf numFmtId="0" fontId="1" fillId="0" borderId="24" xfId="0" applyFont="1" applyBorder="1"/>
    <xf numFmtId="0" fontId="0" fillId="0" borderId="9" xfId="0" applyBorder="1"/>
    <xf numFmtId="38" fontId="3" fillId="0" borderId="0" xfId="2" applyFont="1" applyBorder="1"/>
    <xf numFmtId="192" fontId="12" fillId="4" borderId="0" xfId="0" applyNumberFormat="1" applyFont="1" applyFill="1"/>
    <xf numFmtId="0" fontId="0" fillId="0" borderId="24" xfId="0" applyBorder="1"/>
    <xf numFmtId="38" fontId="3" fillId="3" borderId="71" xfId="2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80" fontId="0" fillId="0" borderId="0" xfId="0" applyNumberFormat="1" applyAlignment="1" applyProtection="1">
      <alignment vertical="center"/>
      <protection locked="0"/>
    </xf>
    <xf numFmtId="0" fontId="4" fillId="0" borderId="25" xfId="0" applyFont="1" applyBorder="1" applyAlignment="1">
      <alignment horizontal="center" vertical="center" wrapText="1"/>
    </xf>
    <xf numFmtId="180" fontId="0" fillId="7" borderId="91" xfId="0" applyNumberFormat="1" applyFill="1" applyBorder="1" applyAlignment="1" applyProtection="1">
      <alignment vertical="center"/>
      <protection locked="0"/>
    </xf>
    <xf numFmtId="180" fontId="0" fillId="7" borderId="92" xfId="0" applyNumberFormat="1" applyFill="1" applyBorder="1" applyAlignment="1" applyProtection="1">
      <alignment vertical="center"/>
      <protection locked="0"/>
    </xf>
    <xf numFmtId="180" fontId="0" fillId="7" borderId="93" xfId="0" applyNumberFormat="1" applyFill="1" applyBorder="1" applyAlignment="1" applyProtection="1">
      <alignment vertical="center"/>
      <protection locked="0"/>
    </xf>
    <xf numFmtId="0" fontId="27" fillId="0" borderId="0" xfId="0" applyFont="1"/>
    <xf numFmtId="38" fontId="1" fillId="0" borderId="14" xfId="2" applyFill="1" applyBorder="1" applyAlignment="1"/>
    <xf numFmtId="38" fontId="1" fillId="0" borderId="7" xfId="2" applyFill="1" applyBorder="1" applyAlignment="1"/>
    <xf numFmtId="0" fontId="3" fillId="0" borderId="1" xfId="0" applyFont="1" applyBorder="1" applyAlignment="1">
      <alignment horizontal="center"/>
    </xf>
    <xf numFmtId="193" fontId="3" fillId="3" borderId="34" xfId="0" applyNumberFormat="1" applyFont="1" applyFill="1" applyBorder="1" applyAlignment="1" applyProtection="1">
      <alignment vertical="center"/>
      <protection locked="0"/>
    </xf>
    <xf numFmtId="193" fontId="3" fillId="3" borderId="5" xfId="0" applyNumberFormat="1" applyFont="1" applyFill="1" applyBorder="1" applyAlignment="1" applyProtection="1">
      <alignment vertical="center"/>
      <protection locked="0"/>
    </xf>
    <xf numFmtId="0" fontId="17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3" fontId="16" fillId="7" borderId="60" xfId="0" applyNumberFormat="1" applyFont="1" applyFill="1" applyBorder="1" applyAlignment="1" applyProtection="1">
      <alignment horizontal="center" vertical="center"/>
      <protection locked="0"/>
    </xf>
    <xf numFmtId="3" fontId="16" fillId="7" borderId="61" xfId="0" applyNumberFormat="1" applyFont="1" applyFill="1" applyBorder="1" applyAlignment="1" applyProtection="1">
      <alignment horizontal="center" vertical="center"/>
      <protection locked="0"/>
    </xf>
    <xf numFmtId="3" fontId="16" fillId="7" borderId="62" xfId="0" applyNumberFormat="1" applyFont="1" applyFill="1" applyBorder="1" applyAlignment="1" applyProtection="1">
      <alignment horizontal="center" vertical="center"/>
      <protection locked="0"/>
    </xf>
    <xf numFmtId="0" fontId="20" fillId="5" borderId="56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4" fillId="6" borderId="57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55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/>
    </xf>
    <xf numFmtId="0" fontId="19" fillId="9" borderId="31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 shrinkToFit="1"/>
    </xf>
    <xf numFmtId="0" fontId="4" fillId="9" borderId="53" xfId="0" applyFont="1" applyFill="1" applyBorder="1" applyAlignment="1">
      <alignment horizontal="center" vertical="center" shrinkToFit="1"/>
    </xf>
    <xf numFmtId="0" fontId="4" fillId="9" borderId="54" xfId="0" applyFont="1" applyFill="1" applyBorder="1" applyAlignment="1">
      <alignment horizontal="center" vertical="center" shrinkToFit="1"/>
    </xf>
    <xf numFmtId="183" fontId="19" fillId="5" borderId="8" xfId="0" applyNumberFormat="1" applyFont="1" applyFill="1" applyBorder="1" applyAlignment="1" applyProtection="1">
      <alignment horizontal="right" vertical="center"/>
      <protection hidden="1"/>
    </xf>
    <xf numFmtId="183" fontId="19" fillId="5" borderId="9" xfId="0" applyNumberFormat="1" applyFont="1" applyFill="1" applyBorder="1" applyAlignment="1" applyProtection="1">
      <alignment horizontal="right" vertical="center"/>
      <protection hidden="1"/>
    </xf>
    <xf numFmtId="183" fontId="19" fillId="5" borderId="10" xfId="0" applyNumberFormat="1" applyFont="1" applyFill="1" applyBorder="1" applyAlignment="1" applyProtection="1">
      <alignment horizontal="right" vertical="center"/>
      <protection hidden="1"/>
    </xf>
    <xf numFmtId="183" fontId="19" fillId="5" borderId="55" xfId="0" applyNumberFormat="1" applyFont="1" applyFill="1" applyBorder="1" applyAlignment="1" applyProtection="1">
      <alignment horizontal="right" vertical="center"/>
      <protection hidden="1"/>
    </xf>
    <xf numFmtId="183" fontId="19" fillId="5" borderId="24" xfId="0" applyNumberFormat="1" applyFont="1" applyFill="1" applyBorder="1" applyAlignment="1" applyProtection="1">
      <alignment horizontal="right" vertical="center"/>
      <protection hidden="1"/>
    </xf>
    <xf numFmtId="183" fontId="19" fillId="5" borderId="31" xfId="0" applyNumberFormat="1" applyFont="1" applyFill="1" applyBorder="1" applyAlignment="1" applyProtection="1">
      <alignment horizontal="right" vertical="center"/>
      <protection hidden="1"/>
    </xf>
    <xf numFmtId="184" fontId="0" fillId="5" borderId="34" xfId="0" applyNumberFormat="1" applyFill="1" applyBorder="1" applyAlignment="1" applyProtection="1">
      <alignment horizontal="right" vertical="center"/>
      <protection hidden="1"/>
    </xf>
    <xf numFmtId="184" fontId="0" fillId="5" borderId="53" xfId="0" applyNumberFormat="1" applyFill="1" applyBorder="1" applyAlignment="1" applyProtection="1">
      <alignment horizontal="right" vertical="center"/>
      <protection hidden="1"/>
    </xf>
    <xf numFmtId="184" fontId="0" fillId="5" borderId="54" xfId="0" applyNumberFormat="1" applyFill="1" applyBorder="1" applyAlignment="1" applyProtection="1">
      <alignment horizontal="right" vertical="center"/>
      <protection hidden="1"/>
    </xf>
    <xf numFmtId="184" fontId="0" fillId="5" borderId="16" xfId="0" applyNumberFormat="1" applyFill="1" applyBorder="1" applyAlignment="1" applyProtection="1">
      <alignment horizontal="right" vertical="center"/>
      <protection hidden="1"/>
    </xf>
    <xf numFmtId="184" fontId="0" fillId="5" borderId="17" xfId="0" applyNumberFormat="1" applyFill="1" applyBorder="1" applyAlignment="1" applyProtection="1">
      <alignment horizontal="right" vertical="center"/>
      <protection hidden="1"/>
    </xf>
    <xf numFmtId="184" fontId="0" fillId="5" borderId="18" xfId="0" applyNumberFormat="1" applyFill="1" applyBorder="1" applyAlignment="1" applyProtection="1">
      <alignment horizontal="right" vertical="center"/>
      <protection hidden="1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192" fontId="12" fillId="0" borderId="58" xfId="0" applyNumberFormat="1" applyFont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4" fillId="9" borderId="23" xfId="0" applyFont="1" applyFill="1" applyBorder="1" applyAlignment="1">
      <alignment horizontal="center" vertical="center" shrinkToFit="1"/>
    </xf>
    <xf numFmtId="0" fontId="4" fillId="9" borderId="26" xfId="0" applyFont="1" applyFill="1" applyBorder="1" applyAlignment="1">
      <alignment horizontal="center" vertical="center" shrinkToFit="1"/>
    </xf>
    <xf numFmtId="0" fontId="4" fillId="9" borderId="4" xfId="0" applyFont="1" applyFill="1" applyBorder="1" applyAlignment="1">
      <alignment horizontal="center" vertical="center" shrinkToFit="1"/>
    </xf>
    <xf numFmtId="184" fontId="0" fillId="5" borderId="23" xfId="0" applyNumberFormat="1" applyFill="1" applyBorder="1" applyAlignment="1" applyProtection="1">
      <alignment horizontal="right" vertical="center"/>
      <protection hidden="1"/>
    </xf>
    <xf numFmtId="184" fontId="0" fillId="5" borderId="26" xfId="0" applyNumberFormat="1" applyFill="1" applyBorder="1" applyAlignment="1" applyProtection="1">
      <alignment horizontal="right" vertical="center"/>
      <protection hidden="1"/>
    </xf>
    <xf numFmtId="184" fontId="0" fillId="5" borderId="4" xfId="0" applyNumberFormat="1" applyFill="1" applyBorder="1" applyAlignment="1" applyProtection="1">
      <alignment horizontal="right" vertical="center"/>
      <protection hidden="1"/>
    </xf>
    <xf numFmtId="0" fontId="0" fillId="9" borderId="1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3" fontId="9" fillId="7" borderId="63" xfId="0" applyNumberFormat="1" applyFont="1" applyFill="1" applyBorder="1" applyAlignment="1" applyProtection="1">
      <alignment horizontal="center" vertical="center"/>
      <protection locked="0"/>
    </xf>
    <xf numFmtId="3" fontId="9" fillId="7" borderId="64" xfId="0" applyNumberFormat="1" applyFont="1" applyFill="1" applyBorder="1" applyAlignment="1" applyProtection="1">
      <alignment horizontal="center" vertical="center"/>
      <protection locked="0"/>
    </xf>
    <xf numFmtId="3" fontId="9" fillId="7" borderId="65" xfId="0" applyNumberFormat="1" applyFont="1" applyFill="1" applyBorder="1" applyAlignment="1" applyProtection="1">
      <alignment horizontal="center" vertical="center"/>
      <protection locked="0"/>
    </xf>
    <xf numFmtId="3" fontId="9" fillId="7" borderId="52" xfId="0" applyNumberFormat="1" applyFont="1" applyFill="1" applyBorder="1" applyAlignment="1" applyProtection="1">
      <alignment horizontal="center" vertical="center"/>
      <protection locked="0"/>
    </xf>
    <xf numFmtId="3" fontId="9" fillId="7" borderId="66" xfId="0" applyNumberFormat="1" applyFont="1" applyFill="1" applyBorder="1" applyAlignment="1" applyProtection="1">
      <alignment horizontal="center" vertical="center"/>
      <protection locked="0"/>
    </xf>
    <xf numFmtId="3" fontId="9" fillId="7" borderId="59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3" fontId="1" fillId="0" borderId="40" xfId="0" applyNumberFormat="1" applyFont="1" applyBorder="1" applyAlignment="1">
      <alignment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0" fontId="0" fillId="0" borderId="24" xfId="0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38" fontId="1" fillId="0" borderId="29" xfId="2" applyFont="1" applyBorder="1" applyAlignment="1">
      <alignment vertical="center"/>
    </xf>
    <xf numFmtId="38" fontId="1" fillId="0" borderId="35" xfId="2" applyFont="1" applyBorder="1" applyAlignment="1">
      <alignment vertical="center"/>
    </xf>
    <xf numFmtId="38" fontId="1" fillId="0" borderId="40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38" fontId="3" fillId="0" borderId="35" xfId="2" applyFont="1" applyBorder="1" applyAlignment="1">
      <alignment vertical="center"/>
    </xf>
    <xf numFmtId="38" fontId="3" fillId="0" borderId="40" xfId="2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8" fontId="1" fillId="11" borderId="29" xfId="2" applyFont="1" applyFill="1" applyBorder="1" applyAlignment="1">
      <alignment vertical="center"/>
    </xf>
    <xf numFmtId="38" fontId="1" fillId="11" borderId="35" xfId="2" applyFont="1" applyFill="1" applyBorder="1" applyAlignment="1">
      <alignment vertical="center"/>
    </xf>
    <xf numFmtId="38" fontId="1" fillId="11" borderId="40" xfId="2" applyFont="1" applyFill="1" applyBorder="1" applyAlignment="1">
      <alignment vertical="center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35" xfId="0" applyFont="1" applyFill="1" applyBorder="1" applyAlignment="1" applyProtection="1">
      <alignment vertical="center"/>
      <protection locked="0"/>
    </xf>
    <xf numFmtId="0" fontId="1" fillId="3" borderId="40" xfId="0" applyFont="1" applyFill="1" applyBorder="1" applyAlignment="1" applyProtection="1">
      <alignment vertical="center"/>
      <protection locked="0"/>
    </xf>
    <xf numFmtId="38" fontId="1" fillId="0" borderId="57" xfId="2" applyFont="1" applyBorder="1" applyAlignment="1">
      <alignment vertical="center"/>
    </xf>
    <xf numFmtId="38" fontId="1" fillId="0" borderId="96" xfId="2" applyFont="1" applyBorder="1" applyAlignment="1">
      <alignment vertical="center"/>
    </xf>
    <xf numFmtId="38" fontId="1" fillId="0" borderId="25" xfId="2" applyFont="1" applyBorder="1" applyAlignment="1">
      <alignment vertical="center"/>
    </xf>
    <xf numFmtId="38" fontId="1" fillId="0" borderId="12" xfId="2" applyFont="1" applyBorder="1" applyAlignment="1">
      <alignment vertical="center"/>
    </xf>
    <xf numFmtId="38" fontId="1" fillId="0" borderId="30" xfId="2" applyFont="1" applyBorder="1" applyAlignment="1">
      <alignment vertical="center"/>
    </xf>
    <xf numFmtId="38" fontId="1" fillId="0" borderId="31" xfId="2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3" fontId="0" fillId="8" borderId="8" xfId="0" applyNumberFormat="1" applyFill="1" applyBorder="1" applyAlignment="1" applyProtection="1">
      <alignment horizontal="center" vertical="center"/>
      <protection locked="0"/>
    </xf>
    <xf numFmtId="0" fontId="0" fillId="8" borderId="10" xfId="0" applyFill="1" applyBorder="1" applyProtection="1">
      <protection locked="0"/>
    </xf>
    <xf numFmtId="0" fontId="0" fillId="8" borderId="55" xfId="0" applyFill="1" applyBorder="1" applyProtection="1">
      <protection locked="0"/>
    </xf>
    <xf numFmtId="0" fontId="0" fillId="8" borderId="31" xfId="0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right" vertical="center"/>
    </xf>
    <xf numFmtId="3" fontId="1" fillId="0" borderId="35" xfId="0" applyNumberFormat="1" applyFont="1" applyBorder="1" applyAlignment="1">
      <alignment horizontal="right" vertical="center"/>
    </xf>
    <xf numFmtId="3" fontId="1" fillId="0" borderId="40" xfId="0" applyNumberFormat="1" applyFont="1" applyBorder="1" applyAlignment="1">
      <alignment horizontal="right" vertical="center"/>
    </xf>
    <xf numFmtId="38" fontId="1" fillId="0" borderId="29" xfId="2" applyBorder="1" applyAlignment="1">
      <alignment horizontal="right" vertical="center"/>
    </xf>
    <xf numFmtId="38" fontId="1" fillId="0" borderId="35" xfId="2" applyBorder="1" applyAlignment="1">
      <alignment horizontal="right" vertical="center"/>
    </xf>
    <xf numFmtId="38" fontId="1" fillId="0" borderId="40" xfId="2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38" fontId="1" fillId="0" borderId="29" xfId="2" applyFont="1" applyBorder="1" applyAlignment="1">
      <alignment horizontal="right" vertical="center"/>
    </xf>
    <xf numFmtId="38" fontId="1" fillId="0" borderId="35" xfId="2" applyFont="1" applyBorder="1" applyAlignment="1">
      <alignment horizontal="right" vertical="center"/>
    </xf>
    <xf numFmtId="38" fontId="1" fillId="0" borderId="40" xfId="2" applyFont="1" applyBorder="1" applyAlignment="1">
      <alignment horizontal="right" vertical="center"/>
    </xf>
    <xf numFmtId="0" fontId="3" fillId="0" borderId="6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3" xfId="0" applyFont="1" applyBorder="1" applyAlignment="1">
      <alignment horizontal="center" vertical="center"/>
    </xf>
    <xf numFmtId="0" fontId="1" fillId="8" borderId="8" xfId="0" applyFont="1" applyFill="1" applyBorder="1" applyAlignment="1" applyProtection="1">
      <alignment horizontal="right" vertical="center"/>
      <protection locked="0"/>
    </xf>
    <xf numFmtId="0" fontId="1" fillId="8" borderId="55" xfId="0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0" fillId="3" borderId="79" xfId="0" applyFill="1" applyBorder="1" applyProtection="1">
      <protection locked="0"/>
    </xf>
    <xf numFmtId="38" fontId="1" fillId="3" borderId="39" xfId="2" applyFill="1" applyBorder="1" applyAlignment="1" applyProtection="1">
      <protection locked="0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7" xfId="0" applyBorder="1"/>
    <xf numFmtId="0" fontId="0" fillId="0" borderId="28" xfId="0" applyBorder="1"/>
    <xf numFmtId="38" fontId="1" fillId="3" borderId="36" xfId="2" applyFill="1" applyBorder="1" applyAlignment="1" applyProtection="1">
      <protection locked="0"/>
    </xf>
    <xf numFmtId="38" fontId="1" fillId="10" borderId="36" xfId="2" applyFill="1" applyBorder="1" applyAlignment="1" applyProtection="1"/>
    <xf numFmtId="38" fontId="1" fillId="10" borderId="23" xfId="2" applyFill="1" applyBorder="1" applyAlignment="1" applyProtection="1"/>
    <xf numFmtId="38" fontId="1" fillId="0" borderId="23" xfId="2" applyBorder="1" applyAlignment="1"/>
    <xf numFmtId="38" fontId="1" fillId="0" borderId="4" xfId="2" applyBorder="1" applyAlignment="1"/>
    <xf numFmtId="38" fontId="1" fillId="10" borderId="39" xfId="2" applyFill="1" applyBorder="1" applyAlignment="1" applyProtection="1"/>
    <xf numFmtId="57" fontId="0" fillId="3" borderId="68" xfId="0" applyNumberFormat="1" applyFill="1" applyBorder="1" applyAlignment="1" applyProtection="1">
      <alignment horizontal="center"/>
      <protection locked="0"/>
    </xf>
    <xf numFmtId="57" fontId="0" fillId="3" borderId="77" xfId="0" applyNumberFormat="1" applyFill="1" applyBorder="1" applyAlignment="1" applyProtection="1">
      <alignment horizontal="center"/>
      <protection locked="0"/>
    </xf>
    <xf numFmtId="0" fontId="0" fillId="3" borderId="71" xfId="0" applyFill="1" applyBorder="1" applyProtection="1">
      <protection locked="0"/>
    </xf>
    <xf numFmtId="38" fontId="1" fillId="3" borderId="38" xfId="2" applyFill="1" applyBorder="1" applyAlignment="1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8" fontId="1" fillId="10" borderId="38" xfId="2" applyFill="1" applyBorder="1" applyAlignment="1" applyProtection="1"/>
    <xf numFmtId="38" fontId="0" fillId="0" borderId="25" xfId="0" applyNumberFormat="1" applyBorder="1"/>
    <xf numFmtId="0" fontId="0" fillId="0" borderId="2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57" fontId="0" fillId="3" borderId="8" xfId="0" applyNumberFormat="1" applyFill="1" applyBorder="1" applyAlignment="1" applyProtection="1">
      <alignment horizontal="center"/>
      <protection locked="0"/>
    </xf>
    <xf numFmtId="57" fontId="4" fillId="0" borderId="0" xfId="0" applyNumberFormat="1" applyFont="1"/>
    <xf numFmtId="0" fontId="4" fillId="0" borderId="0" xfId="0" applyFont="1"/>
    <xf numFmtId="49" fontId="3" fillId="0" borderId="0" xfId="0" applyNumberFormat="1" applyFont="1" applyAlignment="1">
      <alignment horizontal="right" vertical="distributed"/>
    </xf>
    <xf numFmtId="0" fontId="0" fillId="0" borderId="0" xfId="0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10" borderId="69" xfId="0" applyFont="1" applyFill="1" applyBorder="1" applyAlignment="1">
      <alignment horizontal="center"/>
    </xf>
    <xf numFmtId="0" fontId="0" fillId="10" borderId="70" xfId="0" applyFill="1" applyBorder="1"/>
    <xf numFmtId="0" fontId="3" fillId="10" borderId="70" xfId="0" applyFont="1" applyFill="1" applyBorder="1" applyAlignment="1">
      <alignment horizontal="center"/>
    </xf>
    <xf numFmtId="57" fontId="0" fillId="3" borderId="55" xfId="0" applyNumberFormat="1" applyFill="1" applyBorder="1" applyAlignment="1" applyProtection="1">
      <alignment horizontal="center"/>
      <protection locked="0"/>
    </xf>
    <xf numFmtId="38" fontId="1" fillId="3" borderId="40" xfId="2" applyFill="1" applyBorder="1" applyAlignment="1" applyProtection="1">
      <protection locked="0"/>
    </xf>
    <xf numFmtId="0" fontId="0" fillId="3" borderId="72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79" fontId="3" fillId="3" borderId="11" xfId="0" applyNumberFormat="1" applyFont="1" applyFill="1" applyBorder="1" applyAlignment="1" applyProtection="1">
      <alignment horizontal="center" vertical="top"/>
      <protection locked="0"/>
    </xf>
    <xf numFmtId="179" fontId="3" fillId="3" borderId="12" xfId="0" applyNumberFormat="1" applyFont="1" applyFill="1" applyBorder="1" applyAlignment="1" applyProtection="1">
      <alignment horizontal="center" vertical="top"/>
      <protection locked="0"/>
    </xf>
    <xf numFmtId="0" fontId="0" fillId="0" borderId="77" xfId="0" applyBorder="1" applyAlignment="1">
      <alignment horizontal="right"/>
    </xf>
    <xf numFmtId="0" fontId="0" fillId="0" borderId="78" xfId="0" applyBorder="1" applyAlignment="1">
      <alignment horizontal="right"/>
    </xf>
    <xf numFmtId="38" fontId="1" fillId="0" borderId="30" xfId="2" applyBorder="1" applyAlignment="1"/>
    <xf numFmtId="38" fontId="1" fillId="0" borderId="27" xfId="2" applyBorder="1" applyAlignment="1"/>
    <xf numFmtId="0" fontId="3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179" fontId="3" fillId="0" borderId="55" xfId="0" applyNumberFormat="1" applyFont="1" applyBorder="1" applyAlignment="1">
      <alignment horizontal="center" vertical="top"/>
    </xf>
    <xf numFmtId="179" fontId="3" fillId="0" borderId="31" xfId="0" applyNumberFormat="1" applyFont="1" applyBorder="1" applyAlignment="1">
      <alignment horizontal="center" vertical="top"/>
    </xf>
    <xf numFmtId="38" fontId="1" fillId="10" borderId="40" xfId="2" applyFill="1" applyBorder="1" applyAlignment="1" applyProtection="1"/>
    <xf numFmtId="38" fontId="1" fillId="10" borderId="30" xfId="2" applyFill="1" applyBorder="1" applyAlignment="1" applyProtection="1"/>
    <xf numFmtId="38" fontId="1" fillId="0" borderId="23" xfId="2" applyBorder="1" applyAlignment="1">
      <alignment horizontal="right"/>
    </xf>
    <xf numFmtId="38" fontId="1" fillId="0" borderId="4" xfId="2" applyBorder="1" applyAlignment="1">
      <alignment horizontal="right"/>
    </xf>
    <xf numFmtId="38" fontId="1" fillId="0" borderId="5" xfId="2" applyBorder="1" applyAlignment="1">
      <alignment horizontal="right"/>
    </xf>
    <xf numFmtId="38" fontId="1" fillId="0" borderId="76" xfId="2" applyBorder="1" applyAlignment="1">
      <alignment horizontal="right"/>
    </xf>
    <xf numFmtId="38" fontId="1" fillId="11" borderId="29" xfId="2" applyFont="1" applyFill="1" applyBorder="1" applyAlignment="1">
      <alignment horizontal="right" vertical="center"/>
    </xf>
    <xf numFmtId="38" fontId="1" fillId="11" borderId="35" xfId="2" applyFont="1" applyFill="1" applyBorder="1" applyAlignment="1">
      <alignment horizontal="right" vertical="center"/>
    </xf>
    <xf numFmtId="38" fontId="1" fillId="11" borderId="40" xfId="2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38" fontId="1" fillId="0" borderId="29" xfId="2" applyBorder="1" applyAlignment="1">
      <alignment vertical="center"/>
    </xf>
    <xf numFmtId="38" fontId="1" fillId="0" borderId="35" xfId="2" applyBorder="1" applyAlignment="1">
      <alignment vertical="center"/>
    </xf>
    <xf numFmtId="38" fontId="1" fillId="0" borderId="40" xfId="2" applyBorder="1" applyAlignment="1">
      <alignment vertical="center"/>
    </xf>
    <xf numFmtId="0" fontId="3" fillId="0" borderId="89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9" fillId="0" borderId="14" xfId="2" applyFont="1" applyBorder="1" applyAlignment="1">
      <alignment vertical="center"/>
    </xf>
    <xf numFmtId="0" fontId="0" fillId="8" borderId="8" xfId="0" applyFill="1" applyBorder="1" applyAlignment="1" applyProtection="1">
      <alignment vertical="center"/>
      <protection locked="0"/>
    </xf>
    <xf numFmtId="0" fontId="0" fillId="8" borderId="55" xfId="0" applyFill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" fontId="0" fillId="8" borderId="10" xfId="0" applyNumberFormat="1" applyFill="1" applyBorder="1" applyAlignment="1" applyProtection="1">
      <alignment horizontal="center" vertical="center"/>
      <protection locked="0"/>
    </xf>
    <xf numFmtId="3" fontId="0" fillId="8" borderId="55" xfId="0" applyNumberFormat="1" applyFill="1" applyBorder="1" applyAlignment="1" applyProtection="1">
      <alignment horizontal="center" vertical="center"/>
      <protection locked="0"/>
    </xf>
    <xf numFmtId="3" fontId="0" fillId="8" borderId="31" xfId="0" applyNumberForma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38" fontId="0" fillId="8" borderId="8" xfId="2" applyFont="1" applyFill="1" applyBorder="1" applyAlignment="1" applyProtection="1">
      <alignment horizontal="center" vertical="center"/>
      <protection locked="0"/>
    </xf>
    <xf numFmtId="38" fontId="0" fillId="8" borderId="10" xfId="2" applyFont="1" applyFill="1" applyBorder="1" applyAlignment="1" applyProtection="1">
      <alignment horizontal="center" vertical="center"/>
      <protection locked="0"/>
    </xf>
    <xf numFmtId="38" fontId="0" fillId="8" borderId="55" xfId="2" applyFont="1" applyFill="1" applyBorder="1" applyAlignment="1" applyProtection="1">
      <alignment horizontal="center" vertical="center"/>
      <protection locked="0"/>
    </xf>
    <xf numFmtId="38" fontId="0" fillId="8" borderId="31" xfId="2" applyFont="1" applyFill="1" applyBorder="1" applyAlignment="1" applyProtection="1">
      <alignment horizontal="center" vertical="center"/>
      <protection locked="0"/>
    </xf>
    <xf numFmtId="3" fontId="0" fillId="8" borderId="8" xfId="0" applyNumberFormat="1" applyFill="1" applyBorder="1" applyAlignment="1">
      <alignment horizontal="center" vertical="center"/>
    </xf>
    <xf numFmtId="0" fontId="0" fillId="8" borderId="10" xfId="0" applyFill="1" applyBorder="1"/>
    <xf numFmtId="0" fontId="0" fillId="8" borderId="55" xfId="0" applyFill="1" applyBorder="1"/>
    <xf numFmtId="0" fontId="0" fillId="8" borderId="31" xfId="0" applyFill="1" applyBorder="1"/>
    <xf numFmtId="0" fontId="1" fillId="8" borderId="8" xfId="0" applyFont="1" applyFill="1" applyBorder="1" applyAlignment="1">
      <alignment horizontal="right" vertical="center"/>
    </xf>
    <xf numFmtId="0" fontId="1" fillId="8" borderId="55" xfId="0" applyFont="1" applyFill="1" applyBorder="1" applyAlignment="1">
      <alignment horizontal="right" vertical="center"/>
    </xf>
    <xf numFmtId="188" fontId="18" fillId="0" borderId="0" xfId="0" applyNumberFormat="1" applyFont="1" applyAlignment="1">
      <alignment horizontal="center"/>
    </xf>
    <xf numFmtId="183" fontId="0" fillId="0" borderId="14" xfId="0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2</xdr:row>
      <xdr:rowOff>298449</xdr:rowOff>
    </xdr:from>
    <xdr:to>
      <xdr:col>10</xdr:col>
      <xdr:colOff>809624</xdr:colOff>
      <xdr:row>4</xdr:row>
      <xdr:rowOff>69849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952749" y="984249"/>
          <a:ext cx="1990725" cy="5429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※加入月数が１年（12ヶ月）以外のときに入力してください。</a:t>
          </a:r>
        </a:p>
      </xdr:txBody>
    </xdr:sp>
    <xdr:clientData/>
  </xdr:twoCellAnchor>
  <xdr:twoCellAnchor>
    <xdr:from>
      <xdr:col>1</xdr:col>
      <xdr:colOff>209551</xdr:colOff>
      <xdr:row>6</xdr:row>
      <xdr:rowOff>19050</xdr:rowOff>
    </xdr:from>
    <xdr:to>
      <xdr:col>11</xdr:col>
      <xdr:colOff>876301</xdr:colOff>
      <xdr:row>6</xdr:row>
      <xdr:rowOff>295275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419101" y="1790700"/>
          <a:ext cx="584835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②所得のある方の生年月日や給与等の金額(下記の注意事項を参照）を入力してください。</a:t>
          </a:r>
        </a:p>
      </xdr:txBody>
    </xdr:sp>
    <xdr:clientData/>
  </xdr:twoCellAnchor>
  <xdr:twoCellAnchor>
    <xdr:from>
      <xdr:col>1</xdr:col>
      <xdr:colOff>171450</xdr:colOff>
      <xdr:row>14</xdr:row>
      <xdr:rowOff>28575</xdr:rowOff>
    </xdr:from>
    <xdr:to>
      <xdr:col>8</xdr:col>
      <xdr:colOff>133350</xdr:colOff>
      <xdr:row>14</xdr:row>
      <xdr:rowOff>247650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381000" y="6219825"/>
          <a:ext cx="310515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③国保加入者の数を入力してください。</a:t>
          </a:r>
        </a:p>
      </xdr:txBody>
    </xdr:sp>
    <xdr:clientData/>
  </xdr:twoCellAnchor>
  <xdr:twoCellAnchor>
    <xdr:from>
      <xdr:col>1</xdr:col>
      <xdr:colOff>9525</xdr:colOff>
      <xdr:row>6</xdr:row>
      <xdr:rowOff>333373</xdr:rowOff>
    </xdr:from>
    <xdr:to>
      <xdr:col>11</xdr:col>
      <xdr:colOff>885825</xdr:colOff>
      <xdr:row>6</xdr:row>
      <xdr:rowOff>2114550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219075" y="2105023"/>
          <a:ext cx="6057900" cy="17811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【注意事項】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①給与収入、年金収入は、源泉徴収票などの支払金額を入力してください。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②その他の所得は、営業・農業・不動産・譲渡などの所得の合計額を入力してください。（遺族年金・障害年金・失業手当などの非課税所得は除きます。）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③40歳～64歳の方は、介護保険分が加算されます。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世帯主が擬制世帯主の場合は、軽減区分が正確に反映されませんのでご注意ください。</a:t>
          </a:r>
          <a:br>
            <a:rPr lang="en-US" altLang="ja-JP" sz="1000" b="0" i="0" baseline="0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⑤未就学児の均等割額の軽減は反映されません。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342900</xdr:colOff>
      <xdr:row>4</xdr:row>
      <xdr:rowOff>104775</xdr:rowOff>
    </xdr:from>
    <xdr:to>
      <xdr:col>9</xdr:col>
      <xdr:colOff>590550</xdr:colOff>
      <xdr:row>5</xdr:row>
      <xdr:rowOff>95250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3952875" y="1571625"/>
          <a:ext cx="247650" cy="180975"/>
        </a:xfrm>
        <a:prstGeom prst="down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13</xdr:row>
      <xdr:rowOff>38100</xdr:rowOff>
    </xdr:from>
    <xdr:to>
      <xdr:col>5</xdr:col>
      <xdr:colOff>228600</xdr:colOff>
      <xdr:row>14</xdr:row>
      <xdr:rowOff>0</xdr:rowOff>
    </xdr:to>
    <xdr:sp macro="" textlink="">
      <xdr:nvSpPr>
        <xdr:cNvPr id="1051" name="AutoShap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 bwMode="auto">
        <a:xfrm>
          <a:off x="2352675" y="5905500"/>
          <a:ext cx="247650" cy="285750"/>
        </a:xfrm>
        <a:prstGeom prst="downArrow">
          <a:avLst>
            <a:gd name="adj1" fmla="val 50000"/>
            <a:gd name="adj2" fmla="val 28846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21</xdr:row>
      <xdr:rowOff>85725</xdr:rowOff>
    </xdr:from>
    <xdr:to>
      <xdr:col>12</xdr:col>
      <xdr:colOff>581025</xdr:colOff>
      <xdr:row>27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FA56347A-8DEA-494E-A9C5-CA054659FC01}"/>
            </a:ext>
          </a:extLst>
        </xdr:cNvPr>
        <xdr:cNvSpPr>
          <a:spLocks noChangeArrowheads="1"/>
        </xdr:cNvSpPr>
      </xdr:nvSpPr>
      <xdr:spPr bwMode="auto">
        <a:xfrm>
          <a:off x="4724400" y="8715375"/>
          <a:ext cx="2143125" cy="1552575"/>
        </a:xfrm>
        <a:prstGeom prst="cloudCallout">
          <a:avLst>
            <a:gd name="adj1" fmla="val -100667"/>
            <a:gd name="adj2" fmla="val -5122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最高限度額は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医療分　 ６６万円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支援金分２６万円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介護分　 １７万円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合計１０９万円です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210553</xdr:colOff>
      <xdr:row>17</xdr:row>
      <xdr:rowOff>190500</xdr:rowOff>
    </xdr:from>
    <xdr:to>
      <xdr:col>45</xdr:col>
      <xdr:colOff>335</xdr:colOff>
      <xdr:row>38</xdr:row>
      <xdr:rowOff>130342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0243132" y="3769895"/>
          <a:ext cx="7710571" cy="4361447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upright="1"/>
        <a:lstStyle/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IF($AK13 &gt;HLOOKUP($AJ13,</a:t>
          </a:r>
          <a:r>
            <a:rPr kumimoji="1" lang="ja-JP" altLang="en-US" sz="1100"/>
            <a:t>一定の給与所得者年金基準</a:t>
          </a:r>
          <a:r>
            <a:rPr kumimoji="1" lang="en-US" altLang="ja-JP" sz="1100"/>
            <a:t>,2,FALSE),1,0)</a:t>
          </a:r>
          <a:r>
            <a:rPr kumimoji="1" lang="ja-JP" altLang="en-US" sz="1100"/>
            <a:t>　年金が一定の収入以上なら１、そうでなければ０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AK13</a:t>
          </a:r>
          <a:r>
            <a:rPr kumimoji="1" lang="ja-JP" altLang="en-US" sz="1100"/>
            <a:t>セルに未満か以上が入っている。</a:t>
          </a:r>
          <a:endParaRPr kumimoji="1" lang="en-US" altLang="ja-JP" sz="1100"/>
        </a:p>
        <a:p>
          <a:pPr algn="l"/>
          <a:r>
            <a:rPr kumimoji="1" lang="ja-JP" altLang="en-US" sz="1100"/>
            <a:t>　　一定の給与所得者年金基準は、</a:t>
          </a:r>
          <a:r>
            <a:rPr kumimoji="1" lang="en-US" altLang="ja-JP" sz="1100"/>
            <a:t>AP6</a:t>
          </a:r>
          <a:r>
            <a:rPr kumimoji="1" lang="ja-JP" altLang="en-US" sz="1100"/>
            <a:t>～</a:t>
          </a:r>
          <a:r>
            <a:rPr kumimoji="1" lang="en-US" altLang="ja-JP" sz="1100"/>
            <a:t>AQ7</a:t>
          </a:r>
          <a:r>
            <a:rPr kumimoji="1" lang="ja-JP" altLang="en-US" sz="1100"/>
            <a:t>の範囲につけられている名前である。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HLLOKUP</a:t>
          </a:r>
          <a:r>
            <a:rPr kumimoji="1" lang="ja-JP" altLang="en-US" sz="1100"/>
            <a:t>～</a:t>
          </a:r>
          <a:r>
            <a:rPr kumimoji="1" lang="en-US" altLang="ja-JP" sz="1100"/>
            <a:t>FALSE</a:t>
          </a:r>
          <a:r>
            <a:rPr kumimoji="1" lang="ja-JP" altLang="en-US" sz="1100"/>
            <a:t>までは、</a:t>
          </a:r>
          <a:r>
            <a:rPr kumimoji="1" lang="en-US" altLang="ja-JP" sz="1100"/>
            <a:t>AK13</a:t>
          </a:r>
          <a:r>
            <a:rPr kumimoji="1" lang="ja-JP" altLang="en-US" sz="1100"/>
            <a:t>セルに入っている文字と同じ文字を</a:t>
          </a:r>
          <a:r>
            <a:rPr kumimoji="1" lang="en-US" altLang="ja-JP" sz="1100"/>
            <a:t>AP6</a:t>
          </a:r>
          <a:r>
            <a:rPr kumimoji="1" lang="ja-JP" altLang="en-US" sz="1100"/>
            <a:t>～</a:t>
          </a:r>
          <a:r>
            <a:rPr kumimoji="1" lang="en-US" altLang="ja-JP" sz="1100"/>
            <a:t>AP7</a:t>
          </a:r>
          <a:r>
            <a:rPr kumimoji="1" lang="ja-JP" altLang="en-US" sz="1100"/>
            <a:t>で探し、該当する列の７行目</a:t>
          </a:r>
          <a:r>
            <a:rPr kumimoji="1" lang="en-US" altLang="ja-JP" sz="1100"/>
            <a:t>(AP7,AQ7)</a:t>
          </a:r>
          <a:r>
            <a:rPr kumimoji="1" lang="ja-JP" altLang="en-US" sz="1100"/>
            <a:t>の値を返す。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AK13</a:t>
          </a:r>
          <a:r>
            <a:rPr kumimoji="1" lang="ja-JP" altLang="en-US" sz="1100"/>
            <a:t>の年金額が返された７行目の値より大きければ１、そうでなければ０とする数式である。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IF($AM13&gt;$AO$7,1,0)</a:t>
          </a:r>
          <a:r>
            <a:rPr kumimoji="1" lang="ja-JP" altLang="en-US" sz="1100"/>
            <a:t>　給与収入が</a:t>
          </a:r>
          <a:r>
            <a:rPr kumimoji="1" lang="en-US" altLang="ja-JP" sz="1100"/>
            <a:t>550,000</a:t>
          </a:r>
          <a:r>
            <a:rPr kumimoji="1" lang="ja-JP" altLang="en-US" sz="1100"/>
            <a:t>以上なら１、そうでなければ０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AM13</a:t>
          </a:r>
          <a:r>
            <a:rPr kumimoji="1" lang="ja-JP" altLang="en-US" sz="1100"/>
            <a:t>の値が</a:t>
          </a:r>
          <a:r>
            <a:rPr kumimoji="1" lang="en-US" altLang="ja-JP" sz="1100"/>
            <a:t>AO7</a:t>
          </a:r>
          <a:r>
            <a:rPr kumimoji="1" lang="ja-JP" altLang="en-US" sz="1100"/>
            <a:t>より大きい場合は１、そうでなければ０</a:t>
          </a:r>
          <a:endParaRPr kumimoji="1" lang="en-US" altLang="ja-JP" sz="1100"/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IF(IF($AM13&gt;$AO$7,1,0)+IF($AK13 &gt;HLOOKUP($AJ13,</a:t>
          </a:r>
          <a:r>
            <a:rPr kumimoji="1" lang="ja-JP" altLang="en-US" sz="1100"/>
            <a:t>一定の給与所得者年金基準</a:t>
          </a:r>
          <a:r>
            <a:rPr kumimoji="1" lang="en-US" altLang="ja-JP" sz="1100"/>
            <a:t>,2,FALSE),1,0)&gt;0,1,0)</a:t>
          </a:r>
        </a:p>
        <a:p>
          <a:pPr algn="l"/>
          <a:r>
            <a:rPr kumimoji="1" lang="ja-JP" altLang="en-US" sz="1100"/>
            <a:t>　　①と②の合計が０より大きい場合は１、そうでなければ０</a:t>
          </a:r>
          <a:endParaRPr kumimoji="1" lang="en-US" altLang="ja-JP" sz="1100"/>
        </a:p>
        <a:p>
          <a:pPr algn="l"/>
          <a:r>
            <a:rPr kumimoji="1" lang="ja-JP" altLang="en-US" sz="1100"/>
            <a:t>④</a:t>
          </a:r>
          <a:r>
            <a:rPr kumimoji="1" lang="en-US" altLang="ja-JP" sz="1100"/>
            <a:t>=IF($AJ13&lt;&gt;"",IF(IF($AM13&gt;$AO$7,1,0)+IF($AK13 &gt;HLOOKUP($AJ13,</a:t>
          </a:r>
          <a:r>
            <a:rPr kumimoji="1" lang="ja-JP" altLang="en-US" sz="1100"/>
            <a:t>一定の給与所得者年金基準</a:t>
          </a:r>
          <a:r>
            <a:rPr kumimoji="1" lang="en-US" altLang="ja-JP" sz="1100"/>
            <a:t>,2,FALSE),1,0)&gt;0,1,0),0)</a:t>
          </a:r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AJ13</a:t>
          </a:r>
          <a:r>
            <a:rPr kumimoji="1" lang="ja-JP" altLang="en-US" sz="1100"/>
            <a:t>が空白でなければ③の結果、空白なら０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「＄」は絶対参照。コピーしても動かしたく行や列がある場合に指定すると、指定された行や列は動かず、指定されない行や列が動く。</a:t>
          </a:r>
          <a:endParaRPr kumimoji="1" lang="en-US" altLang="ja-JP" sz="1100"/>
        </a:p>
        <a:p>
          <a:pPr algn="l"/>
          <a:r>
            <a:rPr kumimoji="1" lang="ja-JP" altLang="en-US" sz="1100"/>
            <a:t>　＄</a:t>
          </a:r>
          <a:r>
            <a:rPr kumimoji="1" lang="en-US" altLang="ja-JP" sz="1100"/>
            <a:t>A1</a:t>
          </a:r>
          <a:r>
            <a:rPr kumimoji="1" lang="ja-JP" altLang="en-US" sz="1100"/>
            <a:t>は</a:t>
          </a:r>
          <a:r>
            <a:rPr kumimoji="1" lang="en-US" altLang="ja-JP" sz="1100"/>
            <a:t>A</a:t>
          </a:r>
          <a:r>
            <a:rPr kumimoji="1" lang="ja-JP" altLang="en-US" sz="1100"/>
            <a:t>列は絶対参照で行は相対参照。コピーすると</a:t>
          </a:r>
          <a:r>
            <a:rPr kumimoji="1" lang="en-US" altLang="ja-JP" sz="1100"/>
            <a:t>A</a:t>
          </a:r>
          <a:r>
            <a:rPr kumimoji="1" lang="ja-JP" altLang="en-US" sz="1100"/>
            <a:t>列は変わらないが１の方はコピー先の行番号になる。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A</a:t>
          </a:r>
          <a:r>
            <a:rPr kumimoji="1" lang="ja-JP" altLang="en-US" sz="1100"/>
            <a:t>＄１は１行目が絶対参照で列は相対参照。コピーするとコピー先の列になるが</a:t>
          </a:r>
          <a:r>
            <a:rPr kumimoji="1" lang="en-US" altLang="ja-JP" sz="1100"/>
            <a:t>1</a:t>
          </a:r>
          <a:r>
            <a:rPr kumimoji="1" lang="ja-JP" altLang="en-US" sz="1100"/>
            <a:t>行目は変わらない。</a:t>
          </a:r>
          <a:endParaRPr kumimoji="1" lang="en-US" altLang="ja-JP" sz="1100"/>
        </a:p>
        <a:p>
          <a:pPr algn="l"/>
          <a:r>
            <a:rPr kumimoji="1" lang="ja-JP" altLang="en-US" sz="1100"/>
            <a:t>　＄</a:t>
          </a:r>
          <a:r>
            <a:rPr kumimoji="1" lang="en-US" altLang="ja-JP" sz="1100"/>
            <a:t>AJ13</a:t>
          </a:r>
          <a:r>
            <a:rPr kumimoji="1" lang="ja-JP" altLang="en-US" sz="1100"/>
            <a:t>は、</a:t>
          </a:r>
          <a:r>
            <a:rPr kumimoji="1" lang="en-US" altLang="ja-JP" sz="1100"/>
            <a:t>14</a:t>
          </a:r>
          <a:r>
            <a:rPr kumimoji="1" lang="ja-JP" altLang="en-US" sz="1100"/>
            <a:t>列から</a:t>
          </a:r>
          <a:r>
            <a:rPr kumimoji="1" lang="en-US" altLang="ja-JP" sz="1100"/>
            <a:t>17</a:t>
          </a:r>
          <a:r>
            <a:rPr kumimoji="1" lang="ja-JP" altLang="en-US" sz="1100"/>
            <a:t>列にコピーすると、</a:t>
          </a:r>
          <a:r>
            <a:rPr kumimoji="1" lang="en-US" altLang="ja-JP" sz="1100"/>
            <a:t>AJ</a:t>
          </a:r>
          <a:r>
            <a:rPr kumimoji="1" lang="ja-JP" altLang="en-US" sz="1100"/>
            <a:t>列を固定し、行を</a:t>
          </a:r>
          <a:r>
            <a:rPr kumimoji="1" lang="en-US" altLang="ja-JP" sz="1100"/>
            <a:t>14</a:t>
          </a:r>
          <a:r>
            <a:rPr kumimoji="1" lang="ja-JP" altLang="en-US" sz="1100"/>
            <a:t>～</a:t>
          </a:r>
          <a:r>
            <a:rPr kumimoji="1" lang="en-US" altLang="ja-JP" sz="1100"/>
            <a:t>17</a:t>
          </a:r>
          <a:r>
            <a:rPr kumimoji="1" lang="ja-JP" altLang="en-US" sz="1100"/>
            <a:t>に変化させる。（</a:t>
          </a:r>
          <a:r>
            <a:rPr kumimoji="1" lang="en-US" altLang="ja-JP" sz="1100"/>
            <a:t>AJ14</a:t>
          </a:r>
          <a:r>
            <a:rPr kumimoji="1" lang="ja-JP" altLang="en-US" sz="1100"/>
            <a:t>～</a:t>
          </a:r>
          <a:r>
            <a:rPr kumimoji="1" lang="en-US" altLang="ja-JP" sz="1100"/>
            <a:t>AJ17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ja-JP" altLang="en-US" sz="1100"/>
            <a:t>　よく使うのは、＄</a:t>
          </a:r>
          <a:r>
            <a:rPr kumimoji="1" lang="en-US" altLang="ja-JP" sz="1100"/>
            <a:t>A</a:t>
          </a:r>
          <a:r>
            <a:rPr kumimoji="1" lang="ja-JP" altLang="en-US" sz="1100"/>
            <a:t>＄１のような指定で、どこにコピーしても</a:t>
          </a:r>
          <a:r>
            <a:rPr kumimoji="1" lang="en-US" altLang="ja-JP" sz="1100"/>
            <a:t>A1</a:t>
          </a:r>
          <a:r>
            <a:rPr kumimoji="1" lang="ja-JP" altLang="en-US" sz="1100"/>
            <a:t>を参照する。</a:t>
          </a:r>
          <a:endParaRPr kumimoji="1" lang="en-US" altLang="ja-JP" sz="1100"/>
        </a:p>
        <a:p>
          <a:pPr algn="l"/>
          <a:r>
            <a:rPr kumimoji="1" lang="ja-JP" altLang="en-US" sz="1100"/>
            <a:t>　入力する際は、＝</a:t>
          </a:r>
          <a:r>
            <a:rPr kumimoji="1" lang="en-US" altLang="ja-JP" sz="1100"/>
            <a:t>A1</a:t>
          </a:r>
          <a:r>
            <a:rPr kumimoji="1" lang="ja-JP" altLang="en-US" sz="1100"/>
            <a:t>と入力し、</a:t>
          </a:r>
          <a:r>
            <a:rPr kumimoji="1" lang="en-US" altLang="ja-JP" sz="1100"/>
            <a:t>A1</a:t>
          </a:r>
          <a:r>
            <a:rPr kumimoji="1" lang="ja-JP" altLang="en-US" sz="1100"/>
            <a:t>にカーソルがかかった状態で</a:t>
          </a:r>
          <a:r>
            <a:rPr kumimoji="1" lang="en-US" altLang="ja-JP" sz="1100"/>
            <a:t>F4</a:t>
          </a:r>
          <a:r>
            <a:rPr kumimoji="1" lang="ja-JP" altLang="en-US" sz="1100"/>
            <a:t>キーを押す。１回押すと＄</a:t>
          </a:r>
          <a:r>
            <a:rPr kumimoji="1" lang="en-US" altLang="ja-JP" sz="1100"/>
            <a:t>A</a:t>
          </a:r>
          <a:r>
            <a:rPr kumimoji="1" lang="ja-JP" altLang="en-US" sz="1100"/>
            <a:t>＄１、２回押すと</a:t>
          </a:r>
          <a:r>
            <a:rPr kumimoji="1" lang="en-US" altLang="ja-JP" sz="1100"/>
            <a:t>A$1</a:t>
          </a:r>
          <a:r>
            <a:rPr kumimoji="1" lang="ja-JP" altLang="en-US" sz="1100"/>
            <a:t>、３回押すと</a:t>
          </a:r>
          <a:r>
            <a:rPr kumimoji="1" lang="en-US" altLang="ja-JP" sz="1100"/>
            <a:t>$A1</a:t>
          </a:r>
          <a:r>
            <a:rPr kumimoji="1" lang="ja-JP" altLang="en-US" sz="1100"/>
            <a:t>、</a:t>
          </a:r>
          <a:endParaRPr kumimoji="1" lang="en-US" altLang="ja-JP" sz="1100"/>
        </a:p>
        <a:p>
          <a:pPr algn="l"/>
          <a:r>
            <a:rPr kumimoji="1" lang="ja-JP" altLang="en-US" sz="1100"/>
            <a:t>　４回押すと</a:t>
          </a:r>
          <a:r>
            <a:rPr kumimoji="1" lang="en-US" altLang="ja-JP" sz="1100"/>
            <a:t>A1</a:t>
          </a:r>
          <a:r>
            <a:rPr kumimoji="1" lang="ja-JP" altLang="en-US" sz="1100"/>
            <a:t>に戻る。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50132</xdr:colOff>
      <xdr:row>24</xdr:row>
      <xdr:rowOff>10026</xdr:rowOff>
    </xdr:from>
    <xdr:to>
      <xdr:col>48</xdr:col>
      <xdr:colOff>842210</xdr:colOff>
      <xdr:row>27</xdr:row>
      <xdr:rowOff>170447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30540158" y="5063289"/>
          <a:ext cx="3850105" cy="79207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upright="1"/>
        <a:lstStyle/>
        <a:p>
          <a:pPr algn="l"/>
          <a:r>
            <a:rPr kumimoji="1" lang="ja-JP" altLang="en-US" sz="1100"/>
            <a:t>旧式は給与収入が</a:t>
          </a:r>
          <a:r>
            <a:rPr kumimoji="1" lang="en-US" altLang="ja-JP" sz="1100"/>
            <a:t>550,000</a:t>
          </a:r>
          <a:r>
            <a:rPr kumimoji="1" lang="ja-JP" altLang="en-US" sz="1100"/>
            <a:t>円以上の場合で年金収入が一定以上であれば１、そうでなければ０</a:t>
          </a:r>
          <a:endParaRPr kumimoji="1" lang="en-US" altLang="ja-JP" sz="1100"/>
        </a:p>
        <a:p>
          <a:pPr algn="l"/>
          <a:r>
            <a:rPr kumimoji="1" lang="ja-JP" altLang="en-US" sz="1100"/>
            <a:t>給与所得と年金所得両方あるものを１としている。</a:t>
          </a:r>
        </a:p>
      </xdr:txBody>
    </xdr:sp>
    <xdr:clientData/>
  </xdr:twoCellAnchor>
  <xdr:twoCellAnchor>
    <xdr:from>
      <xdr:col>44</xdr:col>
      <xdr:colOff>1437439</xdr:colOff>
      <xdr:row>11</xdr:row>
      <xdr:rowOff>160421</xdr:rowOff>
    </xdr:from>
    <xdr:to>
      <xdr:col>49</xdr:col>
      <xdr:colOff>140369</xdr:colOff>
      <xdr:row>21</xdr:row>
      <xdr:rowOff>10027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1744714-969D-BB2D-DB68-9C4A3902A9EF}"/>
            </a:ext>
          </a:extLst>
        </xdr:cNvPr>
        <xdr:cNvCxnSpPr/>
      </xdr:nvCxnSpPr>
      <xdr:spPr bwMode="auto">
        <a:xfrm flipV="1">
          <a:off x="27906913" y="2476500"/>
          <a:ext cx="3806324" cy="195513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9"/>
  <sheetViews>
    <sheetView showGridLines="0" showRowColHeaders="0" tabSelected="1" zoomScaleNormal="100" workbookViewId="0">
      <selection activeCell="Q23" sqref="Q23"/>
    </sheetView>
  </sheetViews>
  <sheetFormatPr defaultColWidth="9" defaultRowHeight="13.5"/>
  <cols>
    <col min="1" max="1" width="2.75" style="70" customWidth="1"/>
    <col min="2" max="2" width="14.875" style="70" customWidth="1"/>
    <col min="3" max="3" width="3.375" style="70" customWidth="1"/>
    <col min="4" max="4" width="6.625" style="70" customWidth="1"/>
    <col min="5" max="5" width="3.375" style="70" bestFit="1" customWidth="1"/>
    <col min="6" max="6" width="4.75" style="70" customWidth="1"/>
    <col min="7" max="7" width="3.375" style="70" bestFit="1" customWidth="1"/>
    <col min="8" max="8" width="4.75" style="70" customWidth="1"/>
    <col min="9" max="9" width="3.375" style="70" bestFit="1" customWidth="1"/>
    <col min="10" max="12" width="11.75" style="70" customWidth="1"/>
    <col min="13" max="13" width="13.375" style="70" customWidth="1"/>
    <col min="14" max="14" width="1.75" style="70" customWidth="1"/>
    <col min="15" max="15" width="5.375" style="70" hidden="1" customWidth="1"/>
    <col min="16" max="16" width="8.25" style="70" customWidth="1"/>
    <col min="17" max="18" width="8.125" style="70" customWidth="1"/>
    <col min="19" max="16384" width="9" style="70"/>
  </cols>
  <sheetData>
    <row r="1" spans="1:25" ht="24">
      <c r="A1" s="248" t="s">
        <v>67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102"/>
      <c r="O1" s="102"/>
      <c r="P1" s="102"/>
      <c r="Q1" s="102"/>
      <c r="R1" s="102"/>
    </row>
    <row r="2" spans="1:25" ht="30.75" customHeight="1">
      <c r="B2" s="71" t="s">
        <v>68</v>
      </c>
      <c r="C2" s="71"/>
      <c r="D2" s="71"/>
      <c r="E2" s="71"/>
      <c r="F2" s="71"/>
      <c r="G2" s="71"/>
      <c r="H2" s="71"/>
      <c r="I2" s="71"/>
      <c r="K2" s="116">
        <f>引数用シート!B2</f>
        <v>45658</v>
      </c>
      <c r="L2" s="75" t="s">
        <v>97</v>
      </c>
      <c r="Y2" s="113"/>
    </row>
    <row r="3" spans="1:25" ht="27.75" customHeight="1" thickBot="1">
      <c r="B3" s="72" t="s">
        <v>75</v>
      </c>
      <c r="C3" s="72"/>
      <c r="D3" s="72"/>
      <c r="E3" s="72"/>
      <c r="F3" s="72"/>
      <c r="G3" s="72"/>
      <c r="H3" s="72"/>
      <c r="I3" s="72"/>
      <c r="Y3" s="113"/>
    </row>
    <row r="4" spans="1:25" ht="33" customHeight="1" thickTop="1" thickBot="1">
      <c r="B4" s="73" t="s">
        <v>90</v>
      </c>
      <c r="C4" s="215">
        <v>12</v>
      </c>
      <c r="D4" s="216"/>
      <c r="E4" s="216"/>
      <c r="F4" s="217"/>
      <c r="G4" s="218" t="s">
        <v>89</v>
      </c>
      <c r="H4" s="219"/>
      <c r="I4" s="219"/>
      <c r="Q4" s="74"/>
      <c r="R4" s="74"/>
      <c r="Y4" s="113"/>
    </row>
    <row r="5" spans="1:25" ht="15" customHeight="1" thickTop="1">
      <c r="B5" s="78"/>
      <c r="C5" s="78"/>
      <c r="D5" s="78"/>
      <c r="E5" s="78"/>
      <c r="F5" s="78"/>
      <c r="G5" s="78"/>
      <c r="H5" s="78"/>
      <c r="I5" s="78"/>
      <c r="Y5" s="113"/>
    </row>
    <row r="6" spans="1:25" ht="9" customHeight="1">
      <c r="Y6" s="113"/>
    </row>
    <row r="7" spans="1:25" ht="174.75" customHeight="1">
      <c r="Y7" s="113"/>
    </row>
    <row r="8" spans="1:25" ht="36" customHeight="1" thickBot="1">
      <c r="B8" s="76" t="s">
        <v>69</v>
      </c>
      <c r="C8" s="220" t="s">
        <v>152</v>
      </c>
      <c r="D8" s="221"/>
      <c r="E8" s="221"/>
      <c r="F8" s="221"/>
      <c r="G8" s="221"/>
      <c r="H8" s="221"/>
      <c r="I8" s="222"/>
      <c r="J8" s="80" t="s">
        <v>64</v>
      </c>
      <c r="K8" s="80" t="s">
        <v>65</v>
      </c>
      <c r="L8" s="80" t="s">
        <v>66</v>
      </c>
      <c r="M8" s="203"/>
      <c r="O8" s="79" t="s">
        <v>51</v>
      </c>
    </row>
    <row r="9" spans="1:25" ht="27.75" customHeight="1" thickTop="1" thickBot="1">
      <c r="B9" s="117" t="str">
        <f>IF(O9="","","所得者１")</f>
        <v/>
      </c>
      <c r="C9" s="103"/>
      <c r="D9" s="104"/>
      <c r="E9" s="98" t="s">
        <v>91</v>
      </c>
      <c r="F9" s="99"/>
      <c r="G9" s="98" t="s">
        <v>92</v>
      </c>
      <c r="H9" s="99"/>
      <c r="I9" s="98" t="s">
        <v>93</v>
      </c>
      <c r="J9" s="81"/>
      <c r="K9" s="81"/>
      <c r="L9" s="204"/>
      <c r="M9" s="202"/>
      <c r="O9" s="89" t="str">
        <f>IF(AND(D9&gt;0,F9&gt;0,H9&gt;0),DATE(VLOOKUP(C9,元号表,3,FALSE)+D9,F9,H9),"")</f>
        <v/>
      </c>
    </row>
    <row r="10" spans="1:25" ht="27.75" customHeight="1" thickTop="1" thickBot="1">
      <c r="B10" s="117" t="str">
        <f>IF(O10="","","所得者２")</f>
        <v/>
      </c>
      <c r="C10" s="114"/>
      <c r="D10" s="105"/>
      <c r="E10" s="94" t="s">
        <v>91</v>
      </c>
      <c r="F10" s="95"/>
      <c r="G10" s="94" t="s">
        <v>148</v>
      </c>
      <c r="H10" s="95"/>
      <c r="I10" s="94" t="s">
        <v>149</v>
      </c>
      <c r="J10" s="77"/>
      <c r="K10" s="77"/>
      <c r="L10" s="205"/>
      <c r="M10" s="202"/>
      <c r="O10" s="89" t="str">
        <f>IF(AND(D10&gt;0,F10&gt;0,H10&gt;0),DATE(VLOOKUP(C10,元号表,3,FALSE)+D10,F10,H10),"")</f>
        <v/>
      </c>
    </row>
    <row r="11" spans="1:25" ht="27.75" customHeight="1" thickTop="1" thickBot="1">
      <c r="B11" s="117" t="str">
        <f>IF(O11="","","所得者３")</f>
        <v/>
      </c>
      <c r="C11" s="114"/>
      <c r="D11" s="105"/>
      <c r="E11" s="94" t="s">
        <v>91</v>
      </c>
      <c r="F11" s="95"/>
      <c r="G11" s="94" t="s">
        <v>148</v>
      </c>
      <c r="H11" s="95"/>
      <c r="I11" s="94" t="s">
        <v>149</v>
      </c>
      <c r="J11" s="77"/>
      <c r="K11" s="77"/>
      <c r="L11" s="205"/>
      <c r="M11" s="202"/>
      <c r="O11" s="89" t="str">
        <f>IF(AND(D11&gt;0,F11&gt;0,H11&gt;0),DATE(VLOOKUP(C11,元号表,3,FALSE)+D11,F11,H11),"")</f>
        <v/>
      </c>
      <c r="P11" s="73"/>
      <c r="Q11" s="83"/>
    </row>
    <row r="12" spans="1:25" ht="27.75" customHeight="1" thickTop="1" thickBot="1">
      <c r="B12" s="117" t="str">
        <f>IF(O12="","","所得者４")</f>
        <v/>
      </c>
      <c r="C12" s="114"/>
      <c r="D12" s="105"/>
      <c r="E12" s="94" t="s">
        <v>91</v>
      </c>
      <c r="F12" s="95"/>
      <c r="G12" s="94" t="s">
        <v>148</v>
      </c>
      <c r="H12" s="95"/>
      <c r="I12" s="94" t="s">
        <v>149</v>
      </c>
      <c r="J12" s="77"/>
      <c r="K12" s="77"/>
      <c r="L12" s="205"/>
      <c r="M12" s="202"/>
      <c r="O12" s="89" t="str">
        <f>IF(AND(D12&gt;0,F12&gt;0,H12&gt;0),DATE(VLOOKUP(C12,元号表,3,FALSE)+D12,F12,H12),"")</f>
        <v/>
      </c>
      <c r="P12" s="73"/>
      <c r="Q12" s="83"/>
    </row>
    <row r="13" spans="1:25" ht="27.75" customHeight="1" thickTop="1" thickBot="1">
      <c r="B13" s="117" t="str">
        <f>IF(O13="","","所得者５")</f>
        <v/>
      </c>
      <c r="C13" s="115"/>
      <c r="D13" s="106"/>
      <c r="E13" s="100" t="s">
        <v>91</v>
      </c>
      <c r="F13" s="101"/>
      <c r="G13" s="100" t="s">
        <v>148</v>
      </c>
      <c r="H13" s="101"/>
      <c r="I13" s="100" t="s">
        <v>149</v>
      </c>
      <c r="J13" s="82"/>
      <c r="K13" s="82"/>
      <c r="L13" s="206"/>
      <c r="M13" s="202"/>
      <c r="O13" s="89" t="str">
        <f>IF(AND(D13&gt;0,F13&gt;0,H13&gt;0),DATE(VLOOKUP(C13,元号表,3,FALSE)+D13,F13,H13),"")</f>
        <v/>
      </c>
    </row>
    <row r="14" spans="1:25" ht="25.5" customHeight="1" thickTop="1"/>
    <row r="15" spans="1:25" ht="23.25" customHeight="1" thickBot="1"/>
    <row r="16" spans="1:25" ht="42" customHeight="1" thickTop="1">
      <c r="B16" s="255" t="s">
        <v>70</v>
      </c>
      <c r="C16" s="256"/>
      <c r="D16" s="256"/>
      <c r="E16" s="256"/>
      <c r="F16" s="256"/>
      <c r="G16" s="257">
        <v>0</v>
      </c>
      <c r="H16" s="258"/>
      <c r="I16" s="259"/>
      <c r="J16" s="96" t="s">
        <v>95</v>
      </c>
    </row>
    <row r="17" spans="2:18" ht="42" customHeight="1" thickBot="1">
      <c r="B17" s="255" t="s">
        <v>74</v>
      </c>
      <c r="C17" s="256"/>
      <c r="D17" s="256"/>
      <c r="E17" s="256"/>
      <c r="F17" s="256"/>
      <c r="G17" s="260">
        <v>0</v>
      </c>
      <c r="H17" s="261"/>
      <c r="I17" s="262"/>
      <c r="J17" s="96" t="s">
        <v>95</v>
      </c>
    </row>
    <row r="18" spans="2:18" ht="9.75" customHeight="1" thickTop="1"/>
    <row r="19" spans="2:18" ht="13.5" customHeight="1">
      <c r="B19" s="119">
        <f>引数用シート!B2</f>
        <v>45658</v>
      </c>
      <c r="C19" s="75" t="str">
        <f>G16&amp;"人加入した場合の"</f>
        <v>0人加入した場合の</v>
      </c>
      <c r="D19" s="75"/>
      <c r="E19" s="75"/>
      <c r="F19" s="75"/>
      <c r="G19" s="75"/>
      <c r="H19" s="75"/>
      <c r="I19" s="75"/>
      <c r="K19" s="75"/>
    </row>
    <row r="20" spans="2:18">
      <c r="B20" s="75" t="str">
        <f>C4&amp;"カ月分の国民健康保険税の税額見込み額は、次のとおりです。"</f>
        <v>12カ月分の国民健康保険税の税額見込み額は、次のとおりです。</v>
      </c>
      <c r="C20" s="75"/>
      <c r="D20" s="75"/>
      <c r="E20" s="75"/>
      <c r="F20" s="75"/>
      <c r="G20" s="75"/>
      <c r="H20" s="75"/>
      <c r="I20" s="75"/>
      <c r="K20" s="84"/>
      <c r="L20" s="75"/>
      <c r="M20" s="75"/>
      <c r="N20" s="75"/>
    </row>
    <row r="21" spans="2:18" ht="21" customHeight="1" thickBot="1">
      <c r="B21" s="75" t="s">
        <v>73</v>
      </c>
      <c r="C21" s="75"/>
      <c r="D21" s="75"/>
      <c r="E21" s="75"/>
      <c r="F21" s="75"/>
      <c r="G21" s="75"/>
      <c r="H21" s="75"/>
      <c r="I21" s="75"/>
      <c r="J21" s="75"/>
    </row>
    <row r="22" spans="2:18" ht="21" customHeight="1">
      <c r="B22" s="223" t="s">
        <v>71</v>
      </c>
      <c r="C22" s="224"/>
      <c r="D22" s="225"/>
      <c r="E22" s="232" t="e">
        <f>引数用シート!Q54</f>
        <v>#DIV/0!</v>
      </c>
      <c r="F22" s="233"/>
      <c r="G22" s="233"/>
      <c r="H22" s="234"/>
      <c r="I22" s="97"/>
      <c r="J22" s="75"/>
    </row>
    <row r="23" spans="2:18" ht="21" customHeight="1" thickBot="1">
      <c r="B23" s="226"/>
      <c r="C23" s="227"/>
      <c r="D23" s="228"/>
      <c r="E23" s="235"/>
      <c r="F23" s="236"/>
      <c r="G23" s="236"/>
      <c r="H23" s="237"/>
      <c r="J23" s="75"/>
    </row>
    <row r="24" spans="2:18" ht="21" customHeight="1">
      <c r="B24" s="229" t="s">
        <v>98</v>
      </c>
      <c r="C24" s="230"/>
      <c r="D24" s="231"/>
      <c r="E24" s="238" t="e">
        <f>ROUNDDOWN(引数用シート!AE22,-2)</f>
        <v>#DIV/0!</v>
      </c>
      <c r="F24" s="239"/>
      <c r="G24" s="239"/>
      <c r="H24" s="240"/>
      <c r="J24" s="75"/>
    </row>
    <row r="25" spans="2:18" ht="21" customHeight="1">
      <c r="B25" s="249" t="s">
        <v>99</v>
      </c>
      <c r="C25" s="250"/>
      <c r="D25" s="251"/>
      <c r="E25" s="252">
        <f>ROUNDDOWN(引数用シート!AE46,-2)</f>
        <v>0</v>
      </c>
      <c r="F25" s="253"/>
      <c r="G25" s="253"/>
      <c r="H25" s="254"/>
      <c r="J25" s="75"/>
    </row>
    <row r="26" spans="2:18" ht="21" customHeight="1">
      <c r="B26" s="244" t="s">
        <v>72</v>
      </c>
      <c r="C26" s="245"/>
      <c r="D26" s="246"/>
      <c r="E26" s="241">
        <f>ROUNDDOWN(引数用シート!AE34,-2)</f>
        <v>0</v>
      </c>
      <c r="F26" s="242"/>
      <c r="G26" s="242"/>
      <c r="H26" s="243"/>
      <c r="J26" s="75"/>
    </row>
    <row r="27" spans="2:18" ht="21" customHeight="1">
      <c r="D27" s="120" t="s">
        <v>103</v>
      </c>
      <c r="E27" s="247">
        <f>引数用シート!AH8</f>
        <v>7</v>
      </c>
      <c r="F27" s="247"/>
      <c r="G27" s="247"/>
      <c r="H27" s="247"/>
      <c r="J27" s="75"/>
    </row>
    <row r="28" spans="2:18" ht="21" customHeight="1">
      <c r="B28" s="213" t="s">
        <v>101</v>
      </c>
      <c r="C28" s="213"/>
      <c r="D28" s="213"/>
      <c r="E28" s="213"/>
      <c r="F28" s="213"/>
      <c r="G28" s="213"/>
      <c r="H28" s="213"/>
      <c r="I28" s="213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2:18" ht="29.25" customHeight="1">
      <c r="B29" s="213" t="s">
        <v>102</v>
      </c>
      <c r="C29" s="213"/>
      <c r="D29" s="213"/>
      <c r="E29" s="213"/>
      <c r="F29" s="213"/>
      <c r="G29" s="213"/>
      <c r="H29" s="213"/>
      <c r="I29" s="213"/>
      <c r="J29" s="214"/>
      <c r="K29" s="214"/>
      <c r="L29" s="214"/>
      <c r="M29" s="214"/>
      <c r="N29" s="214"/>
      <c r="O29" s="214"/>
      <c r="P29" s="214"/>
      <c r="Q29" s="214"/>
      <c r="R29" s="214"/>
    </row>
  </sheetData>
  <sheetProtection algorithmName="SHA-512" hashValue="HEWx86iICaTLJxbpI/wEqjiCNcZr5vWYhTU8SqkqUf1ARfDNj55G15cB0gz7DNL56t0MqGl0V7wjHDI63bldhA==" saltValue="IHFIeQ5uhcGnvjbgJLKg7A==" spinCount="100000" sheet="1" objects="1" scenarios="1"/>
  <mergeCells count="19">
    <mergeCell ref="A1:M1"/>
    <mergeCell ref="B25:D25"/>
    <mergeCell ref="E25:H25"/>
    <mergeCell ref="B16:F16"/>
    <mergeCell ref="B17:F17"/>
    <mergeCell ref="G16:I16"/>
    <mergeCell ref="G17:I17"/>
    <mergeCell ref="B29:R29"/>
    <mergeCell ref="C4:F4"/>
    <mergeCell ref="G4:I4"/>
    <mergeCell ref="C8:I8"/>
    <mergeCell ref="B22:D23"/>
    <mergeCell ref="B24:D24"/>
    <mergeCell ref="E22:H23"/>
    <mergeCell ref="E24:H24"/>
    <mergeCell ref="E26:H26"/>
    <mergeCell ref="B26:D26"/>
    <mergeCell ref="B28:R28"/>
    <mergeCell ref="E27:H27"/>
  </mergeCells>
  <phoneticPr fontId="2"/>
  <dataValidations xWindow="174" yWindow="367" count="5">
    <dataValidation allowBlank="1" showInputMessage="1" showErrorMessage="1" prompt="ｓ35.12.21のように入力すること" sqref="O9:O13" xr:uid="{00000000-0002-0000-0000-000000000000}"/>
    <dataValidation operator="equal" allowBlank="1" showInputMessage="1" showErrorMessage="1" error="12ヶ月試算の場合入力不要です。" sqref="Q11" xr:uid="{00000000-0002-0000-0000-000001000000}"/>
    <dataValidation type="list" imeMode="disabled" allowBlank="1" showInputMessage="1" showErrorMessage="1" sqref="C9:C13" xr:uid="{00000000-0002-0000-0000-000002000000}">
      <formula1>元号</formula1>
    </dataValidation>
    <dataValidation imeMode="disabled" allowBlank="1" showInputMessage="1" showErrorMessage="1" sqref="D9:D13 J9:M13 H9:H13 F9:F13 G16:I17" xr:uid="{00000000-0002-0000-0000-000003000000}"/>
    <dataValidation type="whole" imeMode="disabled" allowBlank="1" showInputMessage="1" showErrorMessage="1" error="１～１２の数値を入力してください。" sqref="C4:F4" xr:uid="{00000000-0002-0000-0000-000004000000}">
      <formula1>1</formula1>
      <formula2>12</formula2>
    </dataValidation>
  </dataValidations>
  <pageMargins left="0.56000000000000005" right="0.41" top="0.52" bottom="0.61" header="0.7" footer="0.66"/>
  <pageSetup paperSize="9" scale="92" fitToWidth="0" orientation="portrait" errors="blank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BF1246"/>
  <sheetViews>
    <sheetView zoomScale="95" zoomScaleNormal="95" zoomScaleSheetLayoutView="100" workbookViewId="0">
      <selection activeCell="B2" sqref="B2"/>
    </sheetView>
  </sheetViews>
  <sheetFormatPr defaultRowHeight="16.5" customHeight="1"/>
  <cols>
    <col min="1" max="1" width="7.625" customWidth="1"/>
    <col min="2" max="2" width="7" customWidth="1"/>
    <col min="3" max="3" width="13.625" customWidth="1"/>
    <col min="4" max="4" width="10.875" customWidth="1"/>
    <col min="5" max="5" width="6.375" customWidth="1"/>
    <col min="6" max="6" width="13.625" customWidth="1"/>
    <col min="7" max="7" width="11.375" customWidth="1"/>
    <col min="8" max="9" width="11.25" customWidth="1"/>
    <col min="10" max="10" width="10.125" customWidth="1"/>
    <col min="11" max="11" width="5.875" customWidth="1"/>
    <col min="12" max="12" width="5.625" customWidth="1"/>
    <col min="13" max="13" width="8.875" customWidth="1"/>
    <col min="14" max="14" width="1.875" customWidth="1"/>
    <col min="15" max="15" width="4.375" customWidth="1"/>
    <col min="16" max="16" width="9.5" customWidth="1"/>
    <col min="17" max="17" width="8.625" customWidth="1"/>
    <col min="18" max="18" width="5.5" customWidth="1"/>
    <col min="19" max="19" width="7.375" customWidth="1"/>
    <col min="20" max="20" width="7.25" customWidth="1"/>
    <col min="21" max="21" width="7.875" customWidth="1"/>
    <col min="22" max="22" width="7.375" customWidth="1"/>
    <col min="23" max="23" width="8.75" customWidth="1"/>
    <col min="24" max="24" width="9.25" customWidth="1"/>
    <col min="25" max="25" width="10.625" customWidth="1"/>
    <col min="26" max="26" width="7.875" customWidth="1"/>
    <col min="27" max="27" width="15.125" bestFit="1" customWidth="1"/>
    <col min="28" max="28" width="3.625" customWidth="1"/>
    <col min="29" max="29" width="8.25" customWidth="1"/>
    <col min="30" max="30" width="8.375" customWidth="1"/>
    <col min="31" max="31" width="6.625" customWidth="1"/>
    <col min="32" max="32" width="3.875" customWidth="1"/>
    <col min="33" max="33" width="3.375" customWidth="1"/>
    <col min="37" max="37" width="9.25" bestFit="1" customWidth="1"/>
    <col min="38" max="38" width="12.25" customWidth="1"/>
    <col min="39" max="40" width="9.25" customWidth="1"/>
    <col min="41" max="41" width="15.125" bestFit="1" customWidth="1"/>
    <col min="42" max="42" width="9.25" customWidth="1"/>
    <col min="43" max="43" width="9.25" bestFit="1" customWidth="1"/>
    <col min="44" max="44" width="9.25" customWidth="1"/>
    <col min="45" max="45" width="21.25" customWidth="1"/>
    <col min="46" max="46" width="20.5" customWidth="1"/>
    <col min="47" max="47" width="13.875" bestFit="1" customWidth="1"/>
    <col min="48" max="48" width="5.75" bestFit="1" customWidth="1"/>
    <col min="49" max="49" width="11.625" bestFit="1" customWidth="1"/>
    <col min="50" max="50" width="16.875" customWidth="1"/>
    <col min="51" max="52" width="11.625" customWidth="1"/>
    <col min="53" max="54" width="9.25" bestFit="1" customWidth="1"/>
    <col min="55" max="55" width="11.375" customWidth="1"/>
    <col min="56" max="56" width="11" customWidth="1"/>
    <col min="57" max="57" width="11.625" bestFit="1" customWidth="1"/>
    <col min="58" max="58" width="10.125" style="127" customWidth="1"/>
  </cols>
  <sheetData>
    <row r="1" spans="1:58" ht="16.5" customHeight="1" thickBot="1">
      <c r="A1" t="s">
        <v>76</v>
      </c>
      <c r="B1" t="s">
        <v>52</v>
      </c>
      <c r="C1" s="107">
        <f>B2</f>
        <v>45658</v>
      </c>
      <c r="D1" s="118"/>
      <c r="E1" s="2"/>
      <c r="F1" s="207" t="s">
        <v>147</v>
      </c>
      <c r="G1" s="2"/>
      <c r="H1" s="2"/>
      <c r="I1" s="2"/>
      <c r="J1" s="2"/>
      <c r="K1" s="363"/>
      <c r="L1" s="363"/>
      <c r="M1" s="363"/>
      <c r="N1" s="363"/>
      <c r="Q1" s="365"/>
      <c r="R1" s="365"/>
      <c r="S1" s="365"/>
      <c r="AU1" s="14" t="s">
        <v>54</v>
      </c>
      <c r="AV1" s="15"/>
      <c r="AW1" s="132"/>
      <c r="AX1" s="132"/>
      <c r="AY1" s="132"/>
      <c r="AZ1" s="131"/>
      <c r="BB1" s="19" t="s">
        <v>129</v>
      </c>
      <c r="BC1" s="14" t="s">
        <v>128</v>
      </c>
      <c r="BF1" s="141" t="s">
        <v>53</v>
      </c>
    </row>
    <row r="2" spans="1:58" ht="16.5" customHeight="1">
      <c r="A2" s="109">
        <v>45748</v>
      </c>
      <c r="B2" s="109">
        <v>45658</v>
      </c>
      <c r="C2" s="362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Q2" s="366"/>
      <c r="R2" s="366"/>
      <c r="S2" s="366"/>
      <c r="T2" s="366"/>
      <c r="U2" s="366"/>
      <c r="Z2" s="69"/>
      <c r="AA2" s="69"/>
      <c r="AB2" s="364"/>
      <c r="AC2" s="364"/>
      <c r="AD2" s="69"/>
      <c r="AE2" s="69"/>
      <c r="AF2" s="44"/>
      <c r="AG2" s="44"/>
      <c r="AU2" s="157" t="s">
        <v>114</v>
      </c>
      <c r="AV2" s="158"/>
      <c r="AW2" s="159" t="s">
        <v>110</v>
      </c>
      <c r="AX2" s="199" t="s">
        <v>111</v>
      </c>
      <c r="AY2" s="159" t="s">
        <v>112</v>
      </c>
      <c r="AZ2" s="126"/>
      <c r="BB2" s="145">
        <v>0</v>
      </c>
      <c r="BC2" s="163">
        <v>550999</v>
      </c>
      <c r="BD2" s="146"/>
      <c r="BE2" s="146"/>
      <c r="BF2" s="147">
        <v>0</v>
      </c>
    </row>
    <row r="3" spans="1:58" ht="16.5" customHeight="1" thickBot="1">
      <c r="C3" s="2"/>
      <c r="D3" s="2"/>
      <c r="E3" s="2"/>
      <c r="F3" s="2"/>
      <c r="G3" s="2"/>
      <c r="H3" s="2"/>
      <c r="I3" s="2"/>
      <c r="J3" s="2"/>
      <c r="K3" s="363"/>
      <c r="L3" s="363"/>
      <c r="M3" s="363"/>
      <c r="N3" s="363"/>
      <c r="R3" s="365"/>
      <c r="S3" s="365"/>
      <c r="T3" s="365"/>
      <c r="U3" s="365"/>
      <c r="Z3" s="69"/>
      <c r="AA3" s="69"/>
      <c r="AB3" s="364"/>
      <c r="AC3" s="364"/>
      <c r="AD3" s="69"/>
      <c r="AE3" s="69"/>
      <c r="AF3" s="44"/>
      <c r="AG3" s="44"/>
      <c r="AO3" s="174" t="s">
        <v>137</v>
      </c>
      <c r="AU3" s="16">
        <v>0</v>
      </c>
      <c r="AV3" s="17">
        <v>1</v>
      </c>
      <c r="AW3" s="18">
        <v>1100000</v>
      </c>
      <c r="AX3" s="18">
        <v>1000000</v>
      </c>
      <c r="AY3" s="18">
        <v>900000</v>
      </c>
      <c r="AZ3" s="126"/>
      <c r="BB3" s="148">
        <v>551000</v>
      </c>
      <c r="BC3" s="140">
        <v>1618999</v>
      </c>
      <c r="BD3" s="17">
        <v>1</v>
      </c>
      <c r="BE3" s="140">
        <v>-550000</v>
      </c>
      <c r="BF3" s="149"/>
    </row>
    <row r="4" spans="1:58" ht="16.5" customHeight="1" thickBot="1">
      <c r="W4" s="5" t="s">
        <v>57</v>
      </c>
      <c r="X4" s="5" t="s">
        <v>57</v>
      </c>
      <c r="AA4" s="170" t="s">
        <v>143</v>
      </c>
      <c r="AI4" s="5" t="s">
        <v>57</v>
      </c>
      <c r="AK4" s="171" t="s">
        <v>135</v>
      </c>
      <c r="AO4" s="177"/>
      <c r="AP4" s="183"/>
      <c r="AQ4" s="184"/>
      <c r="AR4" s="185" t="s">
        <v>141</v>
      </c>
      <c r="AS4" s="186" t="s">
        <v>142</v>
      </c>
      <c r="AU4" s="16">
        <v>3300000</v>
      </c>
      <c r="AV4" s="17">
        <v>0.75</v>
      </c>
      <c r="AW4" s="18">
        <v>275000</v>
      </c>
      <c r="AX4" s="18">
        <v>175000</v>
      </c>
      <c r="AY4" s="18">
        <v>75000</v>
      </c>
      <c r="AZ4" s="126"/>
      <c r="BB4" s="148">
        <v>1619000</v>
      </c>
      <c r="BC4" s="140">
        <v>1619999</v>
      </c>
      <c r="BD4" s="17"/>
      <c r="BE4" s="140"/>
      <c r="BF4" s="149">
        <v>1069000</v>
      </c>
    </row>
    <row r="5" spans="1:58" ht="16.5" customHeight="1" thickBot="1">
      <c r="C5" s="354" t="s">
        <v>2</v>
      </c>
      <c r="D5" s="359" t="s">
        <v>51</v>
      </c>
      <c r="E5" s="10" t="s">
        <v>56</v>
      </c>
      <c r="F5" s="3" t="s">
        <v>0</v>
      </c>
      <c r="G5" s="3" t="s">
        <v>57</v>
      </c>
      <c r="H5" s="3" t="s">
        <v>3</v>
      </c>
      <c r="I5" s="3" t="s">
        <v>57</v>
      </c>
      <c r="J5" s="5" t="s">
        <v>4</v>
      </c>
      <c r="K5" s="326" t="s">
        <v>6</v>
      </c>
      <c r="L5" s="328"/>
      <c r="M5" s="326" t="s">
        <v>8</v>
      </c>
      <c r="N5" s="328"/>
      <c r="O5" s="326" t="s">
        <v>10</v>
      </c>
      <c r="P5" s="328"/>
      <c r="Q5" s="368" t="s">
        <v>11</v>
      </c>
      <c r="R5" s="369"/>
      <c r="S5" s="368" t="s">
        <v>13</v>
      </c>
      <c r="T5" s="370"/>
      <c r="U5" s="368" t="s">
        <v>15</v>
      </c>
      <c r="V5" s="370"/>
      <c r="W5" t="s">
        <v>134</v>
      </c>
      <c r="X5" s="210"/>
      <c r="Y5" s="350" t="s">
        <v>17</v>
      </c>
      <c r="Z5" s="351"/>
      <c r="AA5" s="164">
        <v>150000</v>
      </c>
      <c r="AB5" s="350" t="s">
        <v>18</v>
      </c>
      <c r="AC5" s="351"/>
      <c r="AD5" s="354" t="s">
        <v>19</v>
      </c>
      <c r="AE5" s="374" t="s">
        <v>42</v>
      </c>
      <c r="AF5" s="375"/>
      <c r="AI5" s="28" t="s">
        <v>132</v>
      </c>
      <c r="AK5" s="173">
        <v>0</v>
      </c>
      <c r="AL5" s="90">
        <v>0</v>
      </c>
      <c r="AM5" s="90">
        <v>7</v>
      </c>
      <c r="AO5" s="177"/>
      <c r="AP5" s="181" t="s">
        <v>138</v>
      </c>
      <c r="AQ5" s="182"/>
      <c r="AR5" s="187">
        <f>IF(SUM($AX$13:$AX$17)-1&lt;0,0,SUM($AX$13:$AX$17)-1)</f>
        <v>0</v>
      </c>
      <c r="AS5" s="188">
        <v>100000</v>
      </c>
      <c r="AU5" s="16">
        <v>4100000</v>
      </c>
      <c r="AV5" s="17">
        <v>0.85</v>
      </c>
      <c r="AW5" s="18">
        <v>685000</v>
      </c>
      <c r="AX5" s="18">
        <v>585000</v>
      </c>
      <c r="AY5" s="18">
        <v>485000</v>
      </c>
      <c r="AZ5" s="126"/>
      <c r="BB5" s="148">
        <v>1620000</v>
      </c>
      <c r="BC5" s="140">
        <v>1621999</v>
      </c>
      <c r="BD5" s="17"/>
      <c r="BE5" s="140"/>
      <c r="BF5" s="149">
        <v>1070000</v>
      </c>
    </row>
    <row r="6" spans="1:58" ht="16.5" customHeight="1" thickBot="1">
      <c r="A6" t="s">
        <v>55</v>
      </c>
      <c r="B6" t="s">
        <v>55</v>
      </c>
      <c r="C6" s="355"/>
      <c r="D6" s="360"/>
      <c r="E6" s="11"/>
      <c r="F6" s="4" t="s">
        <v>1</v>
      </c>
      <c r="G6" s="4"/>
      <c r="H6" s="4" t="s">
        <v>1</v>
      </c>
      <c r="I6" s="4"/>
      <c r="J6" s="5" t="s">
        <v>5</v>
      </c>
      <c r="K6" s="326" t="s">
        <v>7</v>
      </c>
      <c r="L6" s="328"/>
      <c r="M6" s="326" t="s">
        <v>9</v>
      </c>
      <c r="N6" s="328"/>
      <c r="O6" s="326" t="s">
        <v>41</v>
      </c>
      <c r="P6" s="328"/>
      <c r="Q6" s="368" t="s">
        <v>12</v>
      </c>
      <c r="R6" s="369"/>
      <c r="S6" s="368" t="s">
        <v>14</v>
      </c>
      <c r="T6" s="370"/>
      <c r="U6" s="368" t="s">
        <v>16</v>
      </c>
      <c r="V6" s="370"/>
      <c r="W6" s="29" t="s">
        <v>133</v>
      </c>
      <c r="X6" s="4" t="s">
        <v>131</v>
      </c>
      <c r="Y6" s="352"/>
      <c r="Z6" s="353"/>
      <c r="AA6" s="172">
        <v>430000</v>
      </c>
      <c r="AB6" s="352"/>
      <c r="AC6" s="353"/>
      <c r="AD6" s="367"/>
      <c r="AE6" s="376"/>
      <c r="AF6" s="377"/>
      <c r="AI6" s="6" t="s">
        <v>145</v>
      </c>
      <c r="AK6" s="173">
        <v>305000</v>
      </c>
      <c r="AL6" s="129">
        <f>$AA$6+AR5*AS5+1</f>
        <v>430001</v>
      </c>
      <c r="AM6" s="90">
        <v>5</v>
      </c>
      <c r="AO6" s="178" t="s">
        <v>129</v>
      </c>
      <c r="AP6" s="175" t="s">
        <v>139</v>
      </c>
      <c r="AQ6" s="176" t="s">
        <v>140</v>
      </c>
      <c r="AU6" s="16">
        <v>7700000</v>
      </c>
      <c r="AV6" s="17">
        <v>0.95</v>
      </c>
      <c r="AW6" s="18">
        <v>1455000</v>
      </c>
      <c r="AX6" s="18">
        <v>1355000</v>
      </c>
      <c r="AY6" s="18">
        <v>1255000</v>
      </c>
      <c r="AZ6" s="126"/>
      <c r="BB6" s="148">
        <v>1622000</v>
      </c>
      <c r="BC6" s="140">
        <v>1623999</v>
      </c>
      <c r="BD6" s="17"/>
      <c r="BE6" s="140"/>
      <c r="BF6" s="149">
        <v>1072000</v>
      </c>
    </row>
    <row r="7" spans="1:58" ht="16.5" customHeight="1" thickBot="1">
      <c r="A7" s="26"/>
      <c r="B7" s="26"/>
      <c r="C7" s="348" t="str">
        <f>計算シート!B9</f>
        <v/>
      </c>
      <c r="D7" s="361" t="str">
        <f>計算シート!O9</f>
        <v/>
      </c>
      <c r="E7" s="359" t="str">
        <f>IF(OR($A8&lt;40,$A8&gt;64),"","介護")</f>
        <v/>
      </c>
      <c r="F7" s="63">
        <f>計算シート!J9</f>
        <v>0</v>
      </c>
      <c r="G7" s="63">
        <v>0</v>
      </c>
      <c r="H7" s="63">
        <f>計算シート!K9</f>
        <v>0</v>
      </c>
      <c r="I7" s="25">
        <f>IF(H8&gt;20000,20000,H8)</f>
        <v>0</v>
      </c>
      <c r="J7" s="64">
        <f>計算シート!L9</f>
        <v>0</v>
      </c>
      <c r="K7" s="349"/>
      <c r="L7" s="349"/>
      <c r="M7" s="349"/>
      <c r="N7" s="349"/>
      <c r="O7" s="349"/>
      <c r="P7" s="349"/>
      <c r="Q7" s="356"/>
      <c r="R7" s="356"/>
      <c r="S7" s="356"/>
      <c r="T7" s="356"/>
      <c r="U7" s="356"/>
      <c r="V7" s="356"/>
      <c r="W7" s="30">
        <f>IF($F8=0,0,$F8)</f>
        <v>0</v>
      </c>
      <c r="X7" s="209"/>
      <c r="Y7" s="357" t="str">
        <f t="shared" ref="Y7" si="0">IF(OR($C7="",$W8=0),"",($W7+$W8+SUM($J7:$V8)))</f>
        <v/>
      </c>
      <c r="Z7" s="358"/>
      <c r="AA7">
        <v>0</v>
      </c>
      <c r="AB7" s="338"/>
      <c r="AC7" s="339"/>
      <c r="AE7" s="378" t="s">
        <v>58</v>
      </c>
      <c r="AF7" s="379"/>
      <c r="AI7" s="167"/>
      <c r="AK7" s="173">
        <v>560000</v>
      </c>
      <c r="AL7" s="129">
        <f>$AA$6+($AE$17*$AK6)+($AR$5*$AS$5)+1</f>
        <v>430001</v>
      </c>
      <c r="AM7" s="90">
        <v>2</v>
      </c>
      <c r="AO7" s="179">
        <v>550000</v>
      </c>
      <c r="AP7" s="150">
        <v>650000</v>
      </c>
      <c r="AQ7" s="152">
        <v>1100000</v>
      </c>
      <c r="AU7" s="160" t="s">
        <v>115</v>
      </c>
      <c r="AV7" s="20"/>
      <c r="AW7" s="21"/>
      <c r="AX7" s="200"/>
      <c r="AY7" s="161"/>
      <c r="AZ7" s="19"/>
      <c r="BB7" s="148">
        <v>1624000</v>
      </c>
      <c r="BC7" s="140">
        <v>1627999</v>
      </c>
      <c r="BD7" s="17"/>
      <c r="BE7" s="140"/>
      <c r="BF7" s="149">
        <v>1074000</v>
      </c>
    </row>
    <row r="8" spans="1:58" ht="16.5" customHeight="1">
      <c r="A8" t="str">
        <f>IF(D7="","",DATEDIF(D7,$A$2,"ｙ"))</f>
        <v/>
      </c>
      <c r="B8" t="str">
        <f>IF(D7="","",DATEDIF(D7,$B$2,"ｙ"))</f>
        <v/>
      </c>
      <c r="C8" s="334"/>
      <c r="D8" s="347"/>
      <c r="E8" s="337"/>
      <c r="F8" s="121">
        <f>$AS13</f>
        <v>0</v>
      </c>
      <c r="G8" s="8"/>
      <c r="H8" s="8">
        <f>$AT13</f>
        <v>0</v>
      </c>
      <c r="I8" s="8"/>
      <c r="J8" s="65"/>
      <c r="K8" s="340"/>
      <c r="L8" s="340"/>
      <c r="M8" s="340"/>
      <c r="N8" s="340"/>
      <c r="O8" s="340"/>
      <c r="P8" s="340"/>
      <c r="Q8" s="341"/>
      <c r="R8" s="341"/>
      <c r="S8" s="341"/>
      <c r="T8" s="341"/>
      <c r="U8" s="341"/>
      <c r="V8" s="342"/>
      <c r="W8" s="27">
        <f>IF($H8=0,0,$H8)</f>
        <v>0</v>
      </c>
      <c r="X8" s="27" t="str">
        <f t="shared" ref="X8" si="1">IF(E7="介護",1,"")</f>
        <v/>
      </c>
      <c r="Y8" s="343" t="str">
        <f>IF($AI8&lt;&gt;"",IF($AI$8=1,IF($W8&gt;$AA$5,SUM($W7:$W8)+SUM($J7:$V8)-$AA$5,$W7+SUM($J7:$V8)),SUM($W7:$W8)+SUM($J7:$V8)),"")</f>
        <v/>
      </c>
      <c r="Z8" s="344"/>
      <c r="AA8" s="35">
        <f>IF(F8&gt;0,G7,0)</f>
        <v>0</v>
      </c>
      <c r="AB8" s="343" t="str">
        <f>IF($AI8 &lt;&gt; "",IF(AND($AI8=1,$W8&gt;0),IF($Y7-$AA$6&gt;0,$Y7-$AA$6,0),IF($Y8&gt;=0,IF($Y8-$AA$6&gt;0,$Y8-$AA$6,0))),"")</f>
        <v/>
      </c>
      <c r="AC8" s="344"/>
      <c r="AD8" s="6" t="s">
        <v>46</v>
      </c>
      <c r="AE8" s="380"/>
      <c r="AF8" s="381"/>
      <c r="AH8" s="197">
        <f>VLOOKUP($Y$17,軽減判定,2)</f>
        <v>7</v>
      </c>
      <c r="AI8" s="168" t="str">
        <f>IF(ISNUMBER($B8),IF($B8&gt;=65,1,0),"")</f>
        <v/>
      </c>
      <c r="AK8" s="173"/>
      <c r="AL8" s="129">
        <f>$AA$6+($AE$17*$AK7)+($AR$5*$AS$5)+1</f>
        <v>430001</v>
      </c>
      <c r="AM8" s="90">
        <v>0</v>
      </c>
      <c r="AU8" s="16">
        <v>0</v>
      </c>
      <c r="AV8" s="17">
        <v>1</v>
      </c>
      <c r="AW8" s="18">
        <v>600000</v>
      </c>
      <c r="AX8" s="18">
        <v>500000</v>
      </c>
      <c r="AY8" s="18">
        <v>400000</v>
      </c>
      <c r="AZ8" s="126"/>
      <c r="BB8" s="148">
        <v>1628000</v>
      </c>
      <c r="BC8" s="140">
        <v>1799999</v>
      </c>
      <c r="BD8" s="17">
        <v>2.4</v>
      </c>
      <c r="BE8" s="140">
        <v>100000</v>
      </c>
      <c r="BF8" s="149"/>
    </row>
    <row r="9" spans="1:58" ht="16.5" customHeight="1">
      <c r="A9" s="26"/>
      <c r="B9" s="26"/>
      <c r="C9" s="334" t="str">
        <f>計算シート!B10</f>
        <v/>
      </c>
      <c r="D9" s="346" t="str">
        <f>計算シート!O10</f>
        <v/>
      </c>
      <c r="E9" s="336" t="str">
        <f>IF(OR($A10&lt;40,$A10&gt;64),"","介護")</f>
        <v/>
      </c>
      <c r="F9" s="63">
        <f>計算シート!J10</f>
        <v>0</v>
      </c>
      <c r="G9" s="63">
        <v>0</v>
      </c>
      <c r="H9" s="63">
        <f>計算シート!K10</f>
        <v>0</v>
      </c>
      <c r="I9" s="25">
        <f>IF(H10&gt;20000,20000,H10)</f>
        <v>0</v>
      </c>
      <c r="J9" s="66">
        <f>計算シート!L10</f>
        <v>0</v>
      </c>
      <c r="K9" s="335"/>
      <c r="L9" s="335"/>
      <c r="M9" s="335"/>
      <c r="N9" s="335"/>
      <c r="O9" s="335"/>
      <c r="P9" s="335"/>
      <c r="Q9" s="345"/>
      <c r="R9" s="345"/>
      <c r="S9" s="345"/>
      <c r="T9" s="345"/>
      <c r="U9" s="345"/>
      <c r="V9" s="345"/>
      <c r="W9" s="30">
        <f>IF($F10=0,0,$F10)</f>
        <v>0</v>
      </c>
      <c r="X9" s="208"/>
      <c r="Y9" s="357" t="str">
        <f t="shared" ref="Y9" si="2">IF(OR($C9="",$W10=0),"",($W9+$W10+SUM($J9:$V10)))</f>
        <v/>
      </c>
      <c r="Z9" s="358"/>
      <c r="AA9">
        <v>0</v>
      </c>
      <c r="AB9" s="338"/>
      <c r="AC9" s="339"/>
      <c r="AD9" s="6"/>
      <c r="AE9" s="382" t="s">
        <v>59</v>
      </c>
      <c r="AF9" s="383"/>
      <c r="AI9" s="169"/>
      <c r="AU9" s="16">
        <v>1300000</v>
      </c>
      <c r="AV9" s="17">
        <v>0.75</v>
      </c>
      <c r="AW9" s="18">
        <v>275000</v>
      </c>
      <c r="AX9" s="18">
        <v>175000</v>
      </c>
      <c r="AY9" s="18">
        <v>75000</v>
      </c>
      <c r="AZ9" s="126"/>
      <c r="BB9" s="148">
        <v>1800000</v>
      </c>
      <c r="BC9" s="140">
        <v>3599999</v>
      </c>
      <c r="BD9" s="17">
        <v>2.8</v>
      </c>
      <c r="BE9" s="140">
        <v>-80000</v>
      </c>
      <c r="BF9" s="149"/>
    </row>
    <row r="10" spans="1:58" ht="16.5" customHeight="1">
      <c r="A10" t="str">
        <f>IF(D9="","",DATEDIF(D9,$A$2,"ｙ"))</f>
        <v/>
      </c>
      <c r="B10" t="str">
        <f>IF(D9="","",DATEDIF(D9,$B$2,"ｙ"))</f>
        <v/>
      </c>
      <c r="C10" s="334"/>
      <c r="D10" s="347"/>
      <c r="E10" s="337"/>
      <c r="F10" s="121">
        <f>$AS14</f>
        <v>0</v>
      </c>
      <c r="G10" s="8"/>
      <c r="H10" s="8">
        <f>$AT14</f>
        <v>0</v>
      </c>
      <c r="I10" s="8"/>
      <c r="J10" s="65"/>
      <c r="K10" s="340"/>
      <c r="L10" s="340"/>
      <c r="M10" s="340"/>
      <c r="N10" s="340"/>
      <c r="O10" s="340"/>
      <c r="P10" s="340"/>
      <c r="Q10" s="341"/>
      <c r="R10" s="341"/>
      <c r="S10" s="341"/>
      <c r="T10" s="341"/>
      <c r="U10" s="341"/>
      <c r="V10" s="342"/>
      <c r="W10" s="27">
        <f>IF($H10=0,0,$H10)</f>
        <v>0</v>
      </c>
      <c r="X10" s="27" t="str">
        <f t="shared" ref="X10" si="3">IF(E9="介護",1,"")</f>
        <v/>
      </c>
      <c r="Y10" s="343" t="str">
        <f>IF($AI10&lt;&gt;"",IF($AI$8=1,IF($W10&gt;$AA$5,SUM($W9:$W10)+SUM($J9:$V10)-$AA$5,$W9+SUM($J9:$V10)),SUM($W9:$W10)+SUM($J9:$V10)),"")</f>
        <v/>
      </c>
      <c r="Z10" s="344"/>
      <c r="AA10" s="35">
        <f>IF(F10&gt;0,G9,0)</f>
        <v>0</v>
      </c>
      <c r="AB10" s="343" t="str">
        <f>IF($AI10 &lt;&gt; "",IF(AND($AI10=1,$W10&gt;0),IF($Y9-$AA$6&gt;0,$Y9-$AA$6,0),IF($Y10&gt;=0,IF($Y10-$AA$6&gt;0,$Y10-$AA$6,0))),"")</f>
        <v/>
      </c>
      <c r="AC10" s="344"/>
      <c r="AD10" s="6"/>
      <c r="AE10" s="378" t="s">
        <v>60</v>
      </c>
      <c r="AF10" s="379"/>
      <c r="AI10" s="168" t="str">
        <f t="shared" ref="AI10" si="4">IF(ISNUMBER($B10),IF($B10&gt;=65,1,0),"")</f>
        <v/>
      </c>
      <c r="AT10" s="1" t="s">
        <v>130</v>
      </c>
      <c r="AU10" s="16">
        <v>4100000</v>
      </c>
      <c r="AV10" s="17">
        <v>0.85</v>
      </c>
      <c r="AW10" s="18">
        <v>685000</v>
      </c>
      <c r="AX10" s="18">
        <v>585000</v>
      </c>
      <c r="AY10" s="18">
        <v>485000</v>
      </c>
      <c r="AZ10" s="126"/>
      <c r="BB10" s="148">
        <v>3600000</v>
      </c>
      <c r="BC10" s="140">
        <v>6599999</v>
      </c>
      <c r="BD10" s="17">
        <v>3.2</v>
      </c>
      <c r="BE10" s="140">
        <v>-440000</v>
      </c>
      <c r="BF10" s="149"/>
    </row>
    <row r="11" spans="1:58" ht="16.5" customHeight="1" thickBot="1">
      <c r="A11" s="26"/>
      <c r="B11" s="26"/>
      <c r="C11" s="334" t="str">
        <f>計算シート!B11</f>
        <v/>
      </c>
      <c r="D11" s="346" t="str">
        <f>計算シート!O11</f>
        <v/>
      </c>
      <c r="E11" s="336" t="str">
        <f>IF(OR($A12&lt;40,$A12&gt;64),"","介護")</f>
        <v/>
      </c>
      <c r="F11" s="63">
        <f>計算シート!J11</f>
        <v>0</v>
      </c>
      <c r="G11" s="63">
        <v>0</v>
      </c>
      <c r="H11" s="63">
        <f>計算シート!K11</f>
        <v>0</v>
      </c>
      <c r="I11" s="25">
        <f>IF(H12&gt;20000,20000,H12)</f>
        <v>0</v>
      </c>
      <c r="J11" s="66">
        <f>計算シート!L11</f>
        <v>0</v>
      </c>
      <c r="K11" s="335"/>
      <c r="L11" s="335"/>
      <c r="M11" s="335"/>
      <c r="N11" s="335"/>
      <c r="O11" s="335"/>
      <c r="P11" s="335"/>
      <c r="Q11" s="345"/>
      <c r="R11" s="345"/>
      <c r="S11" s="345"/>
      <c r="T11" s="345"/>
      <c r="U11" s="345"/>
      <c r="V11" s="345"/>
      <c r="W11" s="30">
        <f>IF($F12=0,0,$F12)</f>
        <v>0</v>
      </c>
      <c r="X11" s="208"/>
      <c r="Y11" s="357" t="str">
        <f t="shared" ref="Y11" si="5">IF(OR($C11="",$W12=0),"",($W11+$W12+SUM($J11:$V12)))</f>
        <v/>
      </c>
      <c r="Z11" s="358"/>
      <c r="AA11">
        <v>0</v>
      </c>
      <c r="AB11" s="338"/>
      <c r="AC11" s="339"/>
      <c r="AD11" s="6" t="s">
        <v>62</v>
      </c>
      <c r="AE11" s="380"/>
      <c r="AF11" s="381"/>
      <c r="AI11" s="169"/>
      <c r="AT11" s="153">
        <v>100000</v>
      </c>
      <c r="AU11" s="162">
        <v>7700000</v>
      </c>
      <c r="AV11" s="22">
        <v>0.95</v>
      </c>
      <c r="AW11" s="23">
        <v>1455000</v>
      </c>
      <c r="AX11" s="23">
        <v>1355000</v>
      </c>
      <c r="AY11" s="23">
        <v>1255000</v>
      </c>
      <c r="AZ11" s="126"/>
      <c r="BB11" s="148">
        <v>6600000</v>
      </c>
      <c r="BC11" s="140">
        <v>8499999</v>
      </c>
      <c r="BD11" s="17">
        <v>0.9</v>
      </c>
      <c r="BE11" s="140">
        <v>-1100000</v>
      </c>
      <c r="BF11" s="149"/>
    </row>
    <row r="12" spans="1:58" ht="16.5" customHeight="1" thickBot="1">
      <c r="A12" t="str">
        <f>IF(D11="","",DATEDIF(D11,$A$2,"ｙ"))</f>
        <v/>
      </c>
      <c r="B12" t="str">
        <f>IF(D11="","",DATEDIF(D11,$B$2,"ｙ"))</f>
        <v/>
      </c>
      <c r="C12" s="334"/>
      <c r="D12" s="347"/>
      <c r="E12" s="337"/>
      <c r="F12" s="121">
        <f>$AS15</f>
        <v>0</v>
      </c>
      <c r="G12" s="8"/>
      <c r="H12" s="8">
        <f>$AT15</f>
        <v>0</v>
      </c>
      <c r="I12" s="8"/>
      <c r="J12" s="65"/>
      <c r="K12" s="340"/>
      <c r="L12" s="340"/>
      <c r="M12" s="340"/>
      <c r="N12" s="340"/>
      <c r="O12" s="340"/>
      <c r="P12" s="340"/>
      <c r="Q12" s="341"/>
      <c r="R12" s="341"/>
      <c r="S12" s="341"/>
      <c r="T12" s="341"/>
      <c r="U12" s="341"/>
      <c r="V12" s="342"/>
      <c r="W12" s="27">
        <f>IF($H12=0,0,$H12)</f>
        <v>0</v>
      </c>
      <c r="X12" s="27" t="str">
        <f t="shared" ref="X12" si="6">IF(E11="介護",1,"")</f>
        <v/>
      </c>
      <c r="Y12" s="343" t="str">
        <f>IF($AI12&lt;&gt;"",IF($AI$8=1,IF($W12&gt;$AA$5,SUM($W11:$W12)+SUM($J11:$V12)-$AA$5,$W11+SUM($J11:$V12)),SUM($W11:$W12)+SUM($J11:$V12)),"")</f>
        <v/>
      </c>
      <c r="Z12" s="344"/>
      <c r="AA12" s="35">
        <f>IF(F12&gt;0,G11,0)</f>
        <v>0</v>
      </c>
      <c r="AB12" s="343" t="str">
        <f>IF($AI12 &lt;&gt; "",IF(AND($AI12=1,$W12&gt;0),IF($Y11-$AA$6&gt;0,$Y11-$AA$6,0),IF($Y12&gt;=0,IF($Y12-$AA$6&gt;0,$Y12-$AA$6,0))),"")</f>
        <v/>
      </c>
      <c r="AC12" s="344"/>
      <c r="AD12" s="6"/>
      <c r="AE12" s="382" t="s">
        <v>59</v>
      </c>
      <c r="AF12" s="383"/>
      <c r="AI12" s="168" t="str">
        <f t="shared" ref="AI12" si="7">IF(ISNUMBER($B12),IF($B12&gt;=65,1,0),"")</f>
        <v/>
      </c>
      <c r="AJ12" s="1" t="s">
        <v>127</v>
      </c>
      <c r="AK12" s="1" t="s">
        <v>119</v>
      </c>
      <c r="AL12" s="1" t="s">
        <v>120</v>
      </c>
      <c r="AM12" s="1" t="s">
        <v>126</v>
      </c>
      <c r="AN12" s="1" t="s">
        <v>121</v>
      </c>
      <c r="AO12" s="1" t="s">
        <v>122</v>
      </c>
      <c r="AP12" s="1" t="s">
        <v>116</v>
      </c>
      <c r="AQ12" s="1" t="s">
        <v>117</v>
      </c>
      <c r="AR12" s="1" t="s">
        <v>123</v>
      </c>
      <c r="AS12" s="138" t="s">
        <v>125</v>
      </c>
      <c r="AT12" s="138" t="s">
        <v>124</v>
      </c>
      <c r="AU12" s="154" t="s">
        <v>118</v>
      </c>
      <c r="AV12" s="155" t="s">
        <v>109</v>
      </c>
      <c r="AW12" s="156" t="s">
        <v>113</v>
      </c>
      <c r="AX12" s="180" t="s">
        <v>136</v>
      </c>
      <c r="AY12" s="180"/>
      <c r="AZ12" s="126"/>
      <c r="BB12" s="150">
        <v>8500000</v>
      </c>
      <c r="BC12" s="151"/>
      <c r="BD12" s="22">
        <v>1</v>
      </c>
      <c r="BE12" s="151">
        <v>-1950000</v>
      </c>
      <c r="BF12" s="152"/>
    </row>
    <row r="13" spans="1:58" ht="16.5" customHeight="1">
      <c r="A13" s="26"/>
      <c r="B13" s="26"/>
      <c r="C13" s="334" t="str">
        <f>計算シート!B12</f>
        <v/>
      </c>
      <c r="D13" s="346" t="str">
        <f>計算シート!O12</f>
        <v/>
      </c>
      <c r="E13" s="336" t="str">
        <f>IF(OR($A14&lt;40,$A14&gt;64),"","介護")</f>
        <v/>
      </c>
      <c r="F13" s="63">
        <f>計算シート!J12</f>
        <v>0</v>
      </c>
      <c r="G13" s="63">
        <v>0</v>
      </c>
      <c r="H13" s="63">
        <f>計算シート!K12</f>
        <v>0</v>
      </c>
      <c r="I13" s="25">
        <f>IF(H14&gt;20000,20000,H14)</f>
        <v>0</v>
      </c>
      <c r="J13" s="66">
        <f>計算シート!L12</f>
        <v>0</v>
      </c>
      <c r="K13" s="335"/>
      <c r="L13" s="335"/>
      <c r="M13" s="335"/>
      <c r="N13" s="335"/>
      <c r="O13" s="335"/>
      <c r="P13" s="335"/>
      <c r="Q13" s="345"/>
      <c r="R13" s="345"/>
      <c r="S13" s="345"/>
      <c r="T13" s="345"/>
      <c r="U13" s="345"/>
      <c r="V13" s="345"/>
      <c r="W13" s="30">
        <f>IF($F14=0,0,$F14)</f>
        <v>0</v>
      </c>
      <c r="X13" s="208"/>
      <c r="Y13" s="357" t="str">
        <f t="shared" ref="Y13" si="8">IF(OR($C13="",$W14=0),"",($W13+$W14+SUM($J13:$V14)))</f>
        <v/>
      </c>
      <c r="Z13" s="358"/>
      <c r="AA13">
        <f>IF(AND(B14&gt;=65,I13&gt;0),I13,0)</f>
        <v>0</v>
      </c>
      <c r="AB13" s="338"/>
      <c r="AC13" s="339"/>
      <c r="AE13" s="378" t="s">
        <v>61</v>
      </c>
      <c r="AF13" s="379"/>
      <c r="AI13" s="169"/>
      <c r="AJ13" s="166" t="str">
        <f>IF( $AI8="","",IF($AI8=1,"以上","未満"))</f>
        <v/>
      </c>
      <c r="AK13" s="130">
        <f>$H7</f>
        <v>0</v>
      </c>
      <c r="AL13" s="130">
        <f>IF(OR($H7=0,$H7=""),0,IF($AU13&lt;0,0,ROUNDDOWN($AU13,0)))</f>
        <v>0</v>
      </c>
      <c r="AM13" s="130">
        <f>$F7</f>
        <v>0</v>
      </c>
      <c r="AN13" s="130">
        <f>$BF13</f>
        <v>0</v>
      </c>
      <c r="AO13" s="130">
        <f>SUM($AL13,$AN13)</f>
        <v>0</v>
      </c>
      <c r="AP13" s="130">
        <f>$J7</f>
        <v>0</v>
      </c>
      <c r="AQ13" s="130">
        <f>SUM($AN13,$AP13)</f>
        <v>0</v>
      </c>
      <c r="AR13" s="130">
        <f>IF(AND($AL13&gt;0,$AN13&gt;0),IF($AO13&gt;=AT$11,1,0),0)</f>
        <v>0</v>
      </c>
      <c r="AS13" s="139">
        <f>IF($AR13=1,IF($AN13-$AT$11&lt;0,0,$AN13-$AT$11),$AN13)</f>
        <v>0</v>
      </c>
      <c r="AT13" s="139">
        <f>IF($AR13=1,IF($AN13-$AT$11&lt;0,$AL13-($AT$11-$AN13),$AL13),$AL13)</f>
        <v>0</v>
      </c>
      <c r="AU13" s="24">
        <f>IF($AJ13="",0,$AK13*$AV13-$AW13)</f>
        <v>0</v>
      </c>
      <c r="AV13" s="17" t="str">
        <f ca="1">IF($AJ13="","",VLOOKUP($AK13,INDIRECT("年金控除表６５" &amp; $AJ13),2))</f>
        <v/>
      </c>
      <c r="AW13" s="24" t="str">
        <f ca="1">IF($AJ13="","",VLOOKUP($AK13,INDIRECT("年金控除表６５" &amp; $AJ13),VLOOKUP($AQ13,所得区分表,3,TRUE)))</f>
        <v/>
      </c>
      <c r="AX13" s="142">
        <f>IF($AJ13&lt;&gt;"",IF(IF($AM13&gt;$AO$7,1,0)+IF($AK13 &gt;HLOOKUP($AJ13,一定の給与所得者年金基準,2,FALSE),1,0)&gt;0,1,0),0)</f>
        <v>0</v>
      </c>
      <c r="BA13" s="130">
        <f>$AM13</f>
        <v>0</v>
      </c>
      <c r="BB13" s="142">
        <f>IF($BA13&gt;0,VLOOKUP($BA13,給与所得算出表,3),0)</f>
        <v>0</v>
      </c>
      <c r="BC13" s="143">
        <f>IF(OR($BB13=0,$BB13&lt;=1),$BA13,ROUNDDOWN($BA13/4,-3))</f>
        <v>0</v>
      </c>
      <c r="BD13" s="143">
        <f>IF($BB13&lt;&gt;0,ROUNDDOWN($BC13*$BB13,0),0)</f>
        <v>0</v>
      </c>
      <c r="BE13" s="143">
        <f>IF($BA13&gt;0,VLOOKUP($BA13,給与所得算出表,4),0)</f>
        <v>0</v>
      </c>
      <c r="BF13" s="144">
        <f>IF($BB13&lt;&gt;0,$BD13+$BE13,VLOOKUP($BA13,給与所得算出表,5))</f>
        <v>0</v>
      </c>
    </row>
    <row r="14" spans="1:58" ht="16.5" customHeight="1">
      <c r="A14" t="str">
        <f>IF(D13="","",DATEDIF(D13,$A$2,"ｙ"))</f>
        <v/>
      </c>
      <c r="B14" t="str">
        <f>IF(D13="","",DATEDIF(D13,$B$2,"ｙ"))</f>
        <v/>
      </c>
      <c r="C14" s="334"/>
      <c r="D14" s="347"/>
      <c r="E14" s="337"/>
      <c r="F14" s="121">
        <f>$AS16</f>
        <v>0</v>
      </c>
      <c r="G14" s="8"/>
      <c r="H14" s="8">
        <f>$AT16</f>
        <v>0</v>
      </c>
      <c r="I14" s="8"/>
      <c r="J14" s="65"/>
      <c r="K14" s="340"/>
      <c r="L14" s="340"/>
      <c r="M14" s="340"/>
      <c r="N14" s="340"/>
      <c r="O14" s="340"/>
      <c r="P14" s="340"/>
      <c r="Q14" s="341"/>
      <c r="R14" s="341"/>
      <c r="S14" s="341"/>
      <c r="T14" s="341"/>
      <c r="U14" s="341"/>
      <c r="V14" s="342"/>
      <c r="W14" s="27">
        <f>IF($H14=0,0,$H14)</f>
        <v>0</v>
      </c>
      <c r="X14" s="27" t="str">
        <f>IF(E13="介護",1,"")</f>
        <v/>
      </c>
      <c r="Y14" s="343" t="str">
        <f>IF($AI14&lt;&gt;"",IF($AI$8=1,IF($W14&gt;$AA$5,SUM($W13:$W14)+SUM($J13:$V14)-$AA$5,$W13+SUM($J13:$V14)),SUM($W13:$W14)+SUM($J13:$V14)),"")</f>
        <v/>
      </c>
      <c r="Z14" s="344"/>
      <c r="AA14" s="35">
        <f>IF(F14&gt;0,G13,0)</f>
        <v>0</v>
      </c>
      <c r="AB14" s="343" t="str">
        <f>IF($AI14 &lt;&gt; "",IF(AND($AI14=1,$W14&gt;0),IF($Y13-$AA$6&gt;0,$Y13-$AA$6,0),IF($Y14&gt;=0,IF($Y14-$AA$6&gt;0,$Y14-$AA$6,0))),"")</f>
        <v/>
      </c>
      <c r="AC14" s="344"/>
      <c r="AE14" s="380"/>
      <c r="AF14" s="381"/>
      <c r="AI14" s="168" t="str">
        <f t="shared" ref="AI14" si="9">IF(ISNUMBER($B14),IF($B14&gt;=65,1,0),"")</f>
        <v/>
      </c>
      <c r="AJ14" s="166" t="str">
        <f>IF( $AI10="","",IF($AI10=1,"以上","未満"))</f>
        <v/>
      </c>
      <c r="AK14" s="130">
        <f>$H9</f>
        <v>0</v>
      </c>
      <c r="AL14" s="130">
        <f>IF(OR($H9=0,$H9=""),0,IF($AU14&lt;0,0,ROUNDDOWN($AU14,0)))</f>
        <v>0</v>
      </c>
      <c r="AM14" s="130">
        <f>$F9</f>
        <v>0</v>
      </c>
      <c r="AN14" s="130">
        <f t="shared" ref="AN14:AN17" si="10">$BF14</f>
        <v>0</v>
      </c>
      <c r="AO14" s="130">
        <f t="shared" ref="AO14:AO17" si="11">SUM($AL14,$AN14)</f>
        <v>0</v>
      </c>
      <c r="AP14" s="130">
        <f>$J9</f>
        <v>0</v>
      </c>
      <c r="AQ14" s="130">
        <f t="shared" ref="AQ14:AQ17" si="12">SUM($AN14,$AP14)</f>
        <v>0</v>
      </c>
      <c r="AR14" s="130">
        <f t="shared" ref="AR14:AR17" si="13">IF(AND($AL14&gt;0,$AN14&gt;0),IF($AO14&gt;=AT$11,1,0),0)</f>
        <v>0</v>
      </c>
      <c r="AS14" s="139">
        <f t="shared" ref="AS14:AS17" si="14">IF($AR14=1,IF($AN14-$AT$11&lt;0,0,$AN14-$AT$11),$AN14)</f>
        <v>0</v>
      </c>
      <c r="AT14" s="139">
        <f t="shared" ref="AT14:AT17" si="15">IF($AR14=1,IF($AN14-$AT$11&lt;0,$AL14-($AT$11-$AN14),$AL14),$AL14)</f>
        <v>0</v>
      </c>
      <c r="AU14" s="24">
        <f>IF($AJ14="",0,$AK14*$AV14-$AW14)</f>
        <v>0</v>
      </c>
      <c r="AV14" s="17" t="str">
        <f ca="1">IF($AJ14="","",VLOOKUP($AK14,INDIRECT("年金控除表６５" &amp; $AJ14),2))</f>
        <v/>
      </c>
      <c r="AW14" s="24" t="str">
        <f ca="1">IF($AJ14="","",VLOOKUP($AK14,INDIRECT("年金控除表６５" &amp; $AJ14),VLOOKUP($AQ14,所得区分表,3,TRUE)))</f>
        <v/>
      </c>
      <c r="AX14" s="142">
        <f>IF($AJ14&lt;&gt;"",IF(IF($AM14&gt;$AO$7,1,0)+IF($AK14 &gt;HLOOKUP($AJ14,一定の給与所得者年金基準,2,FALSE),1,0)&gt;0,1,0),0)</f>
        <v>0</v>
      </c>
      <c r="BA14" s="130">
        <f t="shared" ref="BA14:BA17" si="16">$AM14</f>
        <v>0</v>
      </c>
      <c r="BB14" s="90">
        <f>IF($BA14&gt;0,VLOOKUP($BA14,給与所得算出表,3),0)</f>
        <v>0</v>
      </c>
      <c r="BC14" s="140">
        <f t="shared" ref="BC14:BC16" si="17">IF(OR($BB14=0,$BB14&lt;=1),$BA14,ROUNDDOWN($BA14/4,-3))</f>
        <v>0</v>
      </c>
      <c r="BD14" s="143">
        <f t="shared" ref="BD14:BD17" si="18">IF($BB14&lt;&gt;0,ROUNDDOWN($BC14*$BB14,0),0)</f>
        <v>0</v>
      </c>
      <c r="BE14" s="140">
        <f>IF($BA14&gt;0,VLOOKUP($BA14,給与所得算出表,4),0)</f>
        <v>0</v>
      </c>
      <c r="BF14" s="129">
        <f>IF($BB14&lt;&gt;0,$BD14+$BE14,VLOOKUP($BA14,給与所得算出表,5))</f>
        <v>0</v>
      </c>
    </row>
    <row r="15" spans="1:58" ht="16.5" customHeight="1">
      <c r="A15" s="26"/>
      <c r="B15" s="26"/>
      <c r="C15" s="334" t="str">
        <f>計算シート!B13</f>
        <v/>
      </c>
      <c r="D15" s="346" t="str">
        <f>計算シート!O13</f>
        <v/>
      </c>
      <c r="E15" s="336" t="str">
        <f>IF(OR($A16&lt;40,$A16&gt;64),"","介護")</f>
        <v/>
      </c>
      <c r="F15" s="68">
        <f>計算シート!J13</f>
        <v>0</v>
      </c>
      <c r="G15" s="68">
        <v>0</v>
      </c>
      <c r="H15" s="68">
        <f>計算シート!K13</f>
        <v>0</v>
      </c>
      <c r="I15" s="37">
        <f>IF(H16&gt;20000,20000,H16)</f>
        <v>0</v>
      </c>
      <c r="J15" s="66">
        <f>計算シート!L13</f>
        <v>0</v>
      </c>
      <c r="K15" s="335"/>
      <c r="L15" s="335"/>
      <c r="M15" s="335"/>
      <c r="N15" s="335"/>
      <c r="O15" s="335"/>
      <c r="P15" s="335"/>
      <c r="Q15" s="345"/>
      <c r="R15" s="345"/>
      <c r="S15" s="345"/>
      <c r="T15" s="345"/>
      <c r="U15" s="345"/>
      <c r="V15" s="345"/>
      <c r="W15" s="165">
        <f>IF($F16=0,0,$F16)</f>
        <v>0</v>
      </c>
      <c r="X15" s="208"/>
      <c r="Y15" s="357" t="str">
        <f t="shared" ref="Y15" si="19">IF(OR($C15="",$W16=0),"",($W15+$W16+SUM($J15:$V16)))</f>
        <v/>
      </c>
      <c r="Z15" s="358"/>
      <c r="AA15">
        <f>IF(AND(B16&gt;=65,I15&gt;0),I15,0)</f>
        <v>0</v>
      </c>
      <c r="AB15" s="338"/>
      <c r="AC15" s="339"/>
      <c r="AE15" s="386" t="s">
        <v>59</v>
      </c>
      <c r="AF15" s="387"/>
      <c r="AI15" s="169"/>
      <c r="AJ15" s="166" t="str">
        <f>IF( $AI12="","",IF($AI12=1,"以上","未満"))</f>
        <v/>
      </c>
      <c r="AK15" s="130">
        <f>$H11</f>
        <v>0</v>
      </c>
      <c r="AL15" s="130">
        <f>IF(OR($H11=0,$H11=""),0,IF($AU15&lt;0,0,ROUNDDOWN($AU15,0)))</f>
        <v>0</v>
      </c>
      <c r="AM15" s="130">
        <f>$F11</f>
        <v>0</v>
      </c>
      <c r="AN15" s="130">
        <f t="shared" si="10"/>
        <v>0</v>
      </c>
      <c r="AO15" s="130">
        <f t="shared" si="11"/>
        <v>0</v>
      </c>
      <c r="AP15" s="130">
        <f>$J11</f>
        <v>0</v>
      </c>
      <c r="AQ15" s="130">
        <f t="shared" si="12"/>
        <v>0</v>
      </c>
      <c r="AR15" s="130">
        <f t="shared" si="13"/>
        <v>0</v>
      </c>
      <c r="AS15" s="139">
        <f t="shared" si="14"/>
        <v>0</v>
      </c>
      <c r="AT15" s="139">
        <f t="shared" si="15"/>
        <v>0</v>
      </c>
      <c r="AU15" s="24">
        <f>IF($AJ15="",0,$AK15*$AV15-$AW15)</f>
        <v>0</v>
      </c>
      <c r="AV15" s="17" t="str">
        <f t="shared" ref="AV15:AV17" ca="1" si="20">IF($AJ15="","",VLOOKUP($AK15,INDIRECT("年金控除表６５" &amp; $AJ15),2))</f>
        <v/>
      </c>
      <c r="AW15" s="24" t="str">
        <f ca="1">IF($AJ15="","",VLOOKUP($AK15,INDIRECT("年金控除表６５" &amp; $AJ15),VLOOKUP($AQ15,所得区分表,3,TRUE)))</f>
        <v/>
      </c>
      <c r="AX15" s="142">
        <f>IF($AJ15&lt;&gt;"",IF(IF($AM15&gt;$AO$7,1,0)+IF($AK15 &gt;HLOOKUP($AJ15,一定の給与所得者年金基準,2,FALSE),1,0)&gt;0,1,0),0)</f>
        <v>0</v>
      </c>
      <c r="BA15" s="130">
        <f t="shared" si="16"/>
        <v>0</v>
      </c>
      <c r="BB15" s="90">
        <f>IF($BA15&gt;0,VLOOKUP($BA15,給与所得算出表,3),0)</f>
        <v>0</v>
      </c>
      <c r="BC15" s="140">
        <f t="shared" si="17"/>
        <v>0</v>
      </c>
      <c r="BD15" s="143">
        <f t="shared" si="18"/>
        <v>0</v>
      </c>
      <c r="BE15" s="140">
        <f>IF($BA15&gt;0,VLOOKUP($BA15,給与所得算出表,4),0)</f>
        <v>0</v>
      </c>
      <c r="BF15" s="129">
        <f>IF($BB15&lt;&gt;0,$BD15+$BE15,VLOOKUP($BA15,給与所得算出表,5))</f>
        <v>0</v>
      </c>
    </row>
    <row r="16" spans="1:58" ht="16.5" customHeight="1" thickBot="1">
      <c r="A16" t="str">
        <f>IF(D15="","",DATEDIF(D15,$A$2,"ｙ"))</f>
        <v/>
      </c>
      <c r="B16" t="str">
        <f>IF(D15="","",DATEDIF(D15,$B$2,"ｙ"))</f>
        <v/>
      </c>
      <c r="C16" s="373"/>
      <c r="D16" s="371"/>
      <c r="E16" s="360"/>
      <c r="F16" s="122">
        <f>$AS17</f>
        <v>0</v>
      </c>
      <c r="G16" s="34"/>
      <c r="H16" s="34">
        <f>$AT17</f>
        <v>0</v>
      </c>
      <c r="I16" s="34"/>
      <c r="J16" s="67"/>
      <c r="K16" s="372"/>
      <c r="L16" s="372"/>
      <c r="M16" s="372"/>
      <c r="N16" s="372"/>
      <c r="O16" s="372"/>
      <c r="P16" s="372"/>
      <c r="Q16" s="390"/>
      <c r="R16" s="390"/>
      <c r="S16" s="390"/>
      <c r="T16" s="390"/>
      <c r="U16" s="390"/>
      <c r="V16" s="391"/>
      <c r="W16" s="41">
        <f>IF($H16=0,0,$H16)</f>
        <v>0</v>
      </c>
      <c r="X16" s="41" t="str">
        <f>IF(E15="介護",1,"")</f>
        <v/>
      </c>
      <c r="Y16" s="384" t="str">
        <f>IF($AI16&lt;&gt;"",IF($AI$8=1,IF($W16&gt;$AA$5,SUM($W15:$W16)+SUM($J15:$V16)-$AA$5,$W15+SUM($J15:$V16)),SUM($W15:$W16)+SUM($J15:$V16)),"")</f>
        <v/>
      </c>
      <c r="Z16" s="385"/>
      <c r="AA16" s="42">
        <f>IF(F16&gt;0,G15,0)</f>
        <v>0</v>
      </c>
      <c r="AB16" s="384" t="str">
        <f>IF($AI16 &lt;&gt; "",IF(AND($AI16=1,$W16&gt;0),IF($Y15-$AA$6&gt;0,$Y15-$AA$6,0),IF($Y16&gt;=0,IF($Y16-$AA$6&gt;0,$Y16-$AA$6,0))),"")</f>
        <v/>
      </c>
      <c r="AC16" s="385"/>
      <c r="AD16" s="43"/>
      <c r="AE16" s="388"/>
      <c r="AF16" s="389"/>
      <c r="AI16" s="168" t="str">
        <f t="shared" ref="AI16" si="21">IF(ISNUMBER($B16),IF($B16&gt;=65,1,0),"")</f>
        <v/>
      </c>
      <c r="AJ16" s="166" t="str">
        <f>IF( $AI14="","",IF($AI14=1,"以上","未満"))</f>
        <v/>
      </c>
      <c r="AK16" s="130">
        <f>$H13</f>
        <v>0</v>
      </c>
      <c r="AL16" s="130">
        <f>IF(OR($H13=0,$H13=""),0,IF($AU16&lt;0,0,ROUNDDOWN($AU16,0)))</f>
        <v>0</v>
      </c>
      <c r="AM16" s="130">
        <f>$F13</f>
        <v>0</v>
      </c>
      <c r="AN16" s="130">
        <f t="shared" si="10"/>
        <v>0</v>
      </c>
      <c r="AO16" s="130">
        <f t="shared" si="11"/>
        <v>0</v>
      </c>
      <c r="AP16" s="130">
        <f>$J13</f>
        <v>0</v>
      </c>
      <c r="AQ16" s="130">
        <f t="shared" si="12"/>
        <v>0</v>
      </c>
      <c r="AR16" s="130">
        <f t="shared" si="13"/>
        <v>0</v>
      </c>
      <c r="AS16" s="139">
        <f t="shared" si="14"/>
        <v>0</v>
      </c>
      <c r="AT16" s="139">
        <f>IF($AR16=1,IF($AN16-$AT$11&lt;0,$AL16-($AT$11-$AN16),$AL16),$AL16)</f>
        <v>0</v>
      </c>
      <c r="AU16" s="24">
        <f>IF($AJ16="",0,$AK16*$AV16-$AW16)</f>
        <v>0</v>
      </c>
      <c r="AV16" s="17" t="str">
        <f t="shared" ca="1" si="20"/>
        <v/>
      </c>
      <c r="AW16" s="24" t="str">
        <f ca="1">IF($AJ16="","",VLOOKUP($AK16,INDIRECT("年金控除表６５" &amp; $AJ16),VLOOKUP($AQ16,所得区分表,3,TRUE)))</f>
        <v/>
      </c>
      <c r="AX16" s="142">
        <f>IF($AJ16&lt;&gt;"",IF(IF($AM16&gt;$AO$7,1,0)+IF($AK16 &gt;HLOOKUP($AJ16,一定の給与所得者年金基準,2,FALSE),1,0)&gt;0,1,0),0)</f>
        <v>0</v>
      </c>
      <c r="BA16" s="130">
        <f t="shared" si="16"/>
        <v>0</v>
      </c>
      <c r="BB16" s="90">
        <f>IF($BA16&gt;0,VLOOKUP($BA16,給与所得算出表,3),0)</f>
        <v>0</v>
      </c>
      <c r="BC16" s="140">
        <f t="shared" si="17"/>
        <v>0</v>
      </c>
      <c r="BD16" s="143">
        <f t="shared" si="18"/>
        <v>0</v>
      </c>
      <c r="BE16" s="140">
        <f>IF($BA16&gt;0,VLOOKUP($BA16,給与所得算出表,4),0)</f>
        <v>0</v>
      </c>
      <c r="BF16" s="129">
        <f>IF($BB16&lt;&gt;0,$BD16+$BE16,VLOOKUP($BA16,給与所得算出表,5))</f>
        <v>0</v>
      </c>
    </row>
    <row r="17" spans="8:58" ht="16.5" customHeight="1">
      <c r="U17" s="400" t="s">
        <v>44</v>
      </c>
      <c r="V17" s="401"/>
      <c r="W17" s="31"/>
      <c r="X17" s="31"/>
      <c r="Y17" s="392">
        <f>SUM(Y8,Y10,Y12,Y14,Y16)</f>
        <v>0</v>
      </c>
      <c r="Z17" s="393"/>
      <c r="AA17" s="40"/>
      <c r="AB17" s="392">
        <f>SUM(AB8,AB10,AB12,AB14,AB16)</f>
        <v>0</v>
      </c>
      <c r="AC17" s="393"/>
      <c r="AD17" s="50" t="s">
        <v>63</v>
      </c>
      <c r="AE17" s="211">
        <f>計算シート!G16</f>
        <v>0</v>
      </c>
      <c r="AF17" s="48" t="s">
        <v>59</v>
      </c>
      <c r="AJ17" s="90" t="str">
        <f>IF( $AI16="","",IF($AI16=1,"以上","未満"))</f>
        <v/>
      </c>
      <c r="AK17" s="130">
        <f>$H15</f>
        <v>0</v>
      </c>
      <c r="AL17" s="130">
        <f>IF(OR($H15=0,$H15=""),0,IF($AU17&lt;0,0,ROUNDDOWN($AU17,0)))</f>
        <v>0</v>
      </c>
      <c r="AM17" s="130">
        <f>$F15</f>
        <v>0</v>
      </c>
      <c r="AN17" s="130">
        <f t="shared" si="10"/>
        <v>0</v>
      </c>
      <c r="AO17" s="130">
        <f t="shared" si="11"/>
        <v>0</v>
      </c>
      <c r="AP17" s="130">
        <f>$J15</f>
        <v>0</v>
      </c>
      <c r="AQ17" s="130">
        <f t="shared" si="12"/>
        <v>0</v>
      </c>
      <c r="AR17" s="130">
        <f t="shared" si="13"/>
        <v>0</v>
      </c>
      <c r="AS17" s="139">
        <f t="shared" si="14"/>
        <v>0</v>
      </c>
      <c r="AT17" s="139">
        <f t="shared" si="15"/>
        <v>0</v>
      </c>
      <c r="AU17" s="24">
        <f>IF($AJ17="",0,$AK17*$AV17-$AW17)</f>
        <v>0</v>
      </c>
      <c r="AV17" s="17" t="str">
        <f t="shared" ca="1" si="20"/>
        <v/>
      </c>
      <c r="AW17" s="24" t="str">
        <f ca="1">IF($AJ17="","",VLOOKUP($AK17,INDIRECT("年金控除表６５" &amp; $AJ17),VLOOKUP($AQ17,所得区分表,3,TRUE)))</f>
        <v/>
      </c>
      <c r="AX17" s="142">
        <f>IF($AJ17&lt;&gt;"",IF(IF($AM17&gt;$AO$7,1,0)+IF($AK17 &gt;HLOOKUP($AJ17,一定の給与所得者年金基準,2,FALSE),1,0)&gt;0,1,0),0)</f>
        <v>0</v>
      </c>
      <c r="AY17" t="s">
        <v>108</v>
      </c>
      <c r="BA17" s="130">
        <f t="shared" si="16"/>
        <v>0</v>
      </c>
      <c r="BB17" s="90">
        <f>IF($BA17&gt;0,VLOOKUP($BA17,給与所得算出表,3),0)</f>
        <v>0</v>
      </c>
      <c r="BC17" s="140">
        <f>IF(OR($BB17=0,$BB17&lt;=1),$BA17,ROUNDDOWN($BA17/4,-3))</f>
        <v>0</v>
      </c>
      <c r="BD17" s="143">
        <f t="shared" si="18"/>
        <v>0</v>
      </c>
      <c r="BE17" s="140">
        <f>IF($BA17&gt;0,VLOOKUP($BA17,給与所得算出表,4),0)</f>
        <v>0</v>
      </c>
      <c r="BF17" s="129">
        <f>IF($BB17&lt;&gt;0,$BD17+$BE17,VLOOKUP($BA17,給与所得算出表,5))</f>
        <v>0</v>
      </c>
    </row>
    <row r="18" spans="8:58" ht="16.5" customHeight="1" thickBot="1">
      <c r="U18" s="402" t="s">
        <v>45</v>
      </c>
      <c r="V18" s="403"/>
      <c r="W18" s="12"/>
      <c r="X18" s="12"/>
      <c r="Y18" s="394">
        <f ca="1">0+SUMIF(X7:Z16,1,Y7:Z16)</f>
        <v>0</v>
      </c>
      <c r="Z18" s="395"/>
      <c r="AA18" s="36"/>
      <c r="AB18" s="394">
        <f ca="1">0+SUMIF(X7:AC16,1,AB7:AC16)</f>
        <v>0</v>
      </c>
      <c r="AC18" s="395"/>
      <c r="AD18" s="51" t="s">
        <v>63</v>
      </c>
      <c r="AE18" s="212">
        <f>計算シート!G17</f>
        <v>0</v>
      </c>
      <c r="AF18" s="49" t="s">
        <v>59</v>
      </c>
      <c r="AW18" t="s">
        <v>106</v>
      </c>
      <c r="AY18" t="s">
        <v>107</v>
      </c>
    </row>
    <row r="19" spans="8:58" ht="16.5" customHeight="1" thickBot="1">
      <c r="I19" s="110"/>
      <c r="J19" s="110"/>
      <c r="K19" t="s">
        <v>48</v>
      </c>
      <c r="O19" s="274" t="s">
        <v>48</v>
      </c>
      <c r="P19" s="274"/>
      <c r="AQ19" s="128"/>
      <c r="AR19" s="128"/>
      <c r="AS19" s="128"/>
      <c r="AT19" s="128"/>
      <c r="AW19" s="90">
        <v>0</v>
      </c>
      <c r="AX19" s="129">
        <v>10000000</v>
      </c>
      <c r="AY19" s="90">
        <f>3</f>
        <v>3</v>
      </c>
    </row>
    <row r="20" spans="8:58" ht="16.5" customHeight="1" thickBot="1">
      <c r="H20" s="125"/>
      <c r="I20" s="111"/>
      <c r="J20" s="111"/>
      <c r="K20" s="326" t="s">
        <v>24</v>
      </c>
      <c r="L20" s="327"/>
      <c r="M20" s="328"/>
      <c r="N20" s="1"/>
      <c r="O20" s="329" t="s">
        <v>18</v>
      </c>
      <c r="P20" s="307"/>
      <c r="Q20" s="307" t="s">
        <v>25</v>
      </c>
      <c r="R20" s="307" t="s">
        <v>22</v>
      </c>
      <c r="S20" s="307"/>
      <c r="T20" s="307" t="s">
        <v>23</v>
      </c>
      <c r="U20" s="307" t="s">
        <v>27</v>
      </c>
      <c r="V20" s="312" t="s">
        <v>47</v>
      </c>
      <c r="W20" s="13"/>
      <c r="X20" s="13"/>
      <c r="Y20" s="312" t="s">
        <v>43</v>
      </c>
      <c r="Z20" s="307" t="s">
        <v>28</v>
      </c>
      <c r="AA20" s="32"/>
      <c r="AB20" s="307" t="s">
        <v>29</v>
      </c>
      <c r="AC20" s="307" t="s">
        <v>30</v>
      </c>
      <c r="AD20" s="307" t="s">
        <v>31</v>
      </c>
      <c r="AE20" s="424" t="s">
        <v>32</v>
      </c>
      <c r="AF20" s="351"/>
      <c r="AG20" s="45"/>
      <c r="AQ20" s="128"/>
      <c r="AR20" s="128"/>
      <c r="AS20" s="128"/>
      <c r="AT20" s="128"/>
      <c r="AW20" s="129">
        <v>10000001</v>
      </c>
      <c r="AX20" s="129">
        <v>20000000</v>
      </c>
      <c r="AY20" s="90">
        <v>4</v>
      </c>
    </row>
    <row r="21" spans="8:58" ht="16.5" customHeight="1">
      <c r="H21" s="6"/>
      <c r="I21" s="111"/>
      <c r="J21" s="110"/>
      <c r="K21" s="301" t="s">
        <v>21</v>
      </c>
      <c r="L21" s="330">
        <v>6.26</v>
      </c>
      <c r="M21" s="332" t="s">
        <v>50</v>
      </c>
      <c r="N21" s="1"/>
      <c r="O21" s="283"/>
      <c r="P21" s="308"/>
      <c r="Q21" s="308"/>
      <c r="R21" s="38" t="s">
        <v>26</v>
      </c>
      <c r="S21" s="38" t="s">
        <v>25</v>
      </c>
      <c r="T21" s="308"/>
      <c r="U21" s="308"/>
      <c r="V21" s="313"/>
      <c r="W21" s="39"/>
      <c r="X21" s="39"/>
      <c r="Y21" s="313"/>
      <c r="Z21" s="308"/>
      <c r="AA21" s="38"/>
      <c r="AB21" s="308"/>
      <c r="AC21" s="308"/>
      <c r="AD21" s="308"/>
      <c r="AE21" s="425"/>
      <c r="AF21" s="426"/>
      <c r="AG21" s="45"/>
      <c r="AQ21" s="128"/>
      <c r="AR21" s="128"/>
      <c r="AS21" s="128"/>
      <c r="AT21" s="128"/>
      <c r="AW21" s="129">
        <v>20000001</v>
      </c>
      <c r="AX21" s="90"/>
      <c r="AY21" s="90">
        <v>5</v>
      </c>
    </row>
    <row r="22" spans="8:58" ht="16.5" customHeight="1" thickBot="1">
      <c r="H22" s="6"/>
      <c r="I22" s="110"/>
      <c r="J22" s="110"/>
      <c r="K22" s="302"/>
      <c r="L22" s="331"/>
      <c r="M22" s="333"/>
      <c r="N22" s="1"/>
      <c r="O22" s="283" t="s">
        <v>20</v>
      </c>
      <c r="P22" s="280">
        <f>$AB$17</f>
        <v>0</v>
      </c>
      <c r="Q22" s="277">
        <f>ROUNDDOWN(P22*L21/100,0)</f>
        <v>0</v>
      </c>
      <c r="R22" s="309">
        <f>$AE$17</f>
        <v>0</v>
      </c>
      <c r="S22" s="323">
        <f>R22*L23</f>
        <v>0</v>
      </c>
      <c r="T22" s="323">
        <f>IF(AE17&gt;0,$L$25,0)</f>
        <v>0</v>
      </c>
      <c r="U22" s="314">
        <f>T22+S22+Q22</f>
        <v>0</v>
      </c>
      <c r="V22" s="317" t="e">
        <f>IF($AH$8=0,0,(ROUNDUP(S22/R22*($AH$8*0.1),-1)*R22)+ROUNDUP(T22*($AH$8*0.1),-1))</f>
        <v>#DIV/0!</v>
      </c>
      <c r="W22" s="54"/>
      <c r="X22" s="54"/>
      <c r="Y22" s="396" t="e">
        <f>IF(U22-V22&gt;$L$27,U22-V22-$L$27,0)</f>
        <v>#DIV/0!</v>
      </c>
      <c r="Z22" s="314" t="e">
        <f>U22-V22-Y22</f>
        <v>#DIV/0!</v>
      </c>
      <c r="AA22" s="55"/>
      <c r="AB22" s="404">
        <f>計算シート!C4</f>
        <v>12</v>
      </c>
      <c r="AC22" s="323" t="e">
        <f>ROUNDDOWN(Z22*AB22/12,0)</f>
        <v>#DIV/0!</v>
      </c>
      <c r="AD22" s="320">
        <v>0</v>
      </c>
      <c r="AE22" s="295" t="e">
        <f>AC22-AD22</f>
        <v>#DIV/0!</v>
      </c>
      <c r="AF22" s="296"/>
      <c r="AG22" s="46"/>
      <c r="AT22" t="s">
        <v>151</v>
      </c>
      <c r="AW22" s="127"/>
      <c r="AX22" s="127"/>
    </row>
    <row r="23" spans="8:58" ht="16.5" customHeight="1">
      <c r="H23" s="6"/>
      <c r="I23" s="110"/>
      <c r="J23" s="112"/>
      <c r="K23" s="301" t="s">
        <v>22</v>
      </c>
      <c r="L23" s="303">
        <v>26500</v>
      </c>
      <c r="M23" s="304" t="e">
        <f>VLOOKUP($J$20,#REF!,3,0)</f>
        <v>#REF!</v>
      </c>
      <c r="N23" s="1"/>
      <c r="O23" s="284"/>
      <c r="P23" s="281"/>
      <c r="Q23" s="278"/>
      <c r="R23" s="310"/>
      <c r="S23" s="324"/>
      <c r="T23" s="324"/>
      <c r="U23" s="315"/>
      <c r="V23" s="318"/>
      <c r="W23" s="56"/>
      <c r="X23" s="56"/>
      <c r="Y23" s="397"/>
      <c r="Z23" s="315"/>
      <c r="AA23" s="57"/>
      <c r="AB23" s="405"/>
      <c r="AC23" s="324"/>
      <c r="AD23" s="321"/>
      <c r="AE23" s="297"/>
      <c r="AF23" s="298"/>
      <c r="AG23" s="46"/>
      <c r="AT23" t="s">
        <v>150</v>
      </c>
    </row>
    <row r="24" spans="8:58" ht="16.5" customHeight="1" thickBot="1">
      <c r="K24" s="302"/>
      <c r="L24" s="305"/>
      <c r="M24" s="306"/>
      <c r="N24" s="1"/>
      <c r="O24" s="284"/>
      <c r="P24" s="281"/>
      <c r="Q24" s="278"/>
      <c r="R24" s="310"/>
      <c r="S24" s="324"/>
      <c r="T24" s="324"/>
      <c r="U24" s="315"/>
      <c r="V24" s="318"/>
      <c r="W24" s="58"/>
      <c r="X24" s="58"/>
      <c r="Y24" s="397"/>
      <c r="Z24" s="315"/>
      <c r="AA24" s="59"/>
      <c r="AB24" s="405"/>
      <c r="AC24" s="324"/>
      <c r="AD24" s="321"/>
      <c r="AE24" s="297"/>
      <c r="AF24" s="298"/>
      <c r="AG24" s="46"/>
    </row>
    <row r="25" spans="8:58" ht="16.5" customHeight="1" thickBot="1">
      <c r="K25" s="301" t="s">
        <v>23</v>
      </c>
      <c r="L25" s="303">
        <v>17100</v>
      </c>
      <c r="M25" s="304" t="e">
        <f>VLOOKUP($J$20,#REF!,3,0)</f>
        <v>#REF!</v>
      </c>
      <c r="N25" s="1"/>
      <c r="O25" s="285"/>
      <c r="P25" s="282"/>
      <c r="Q25" s="279"/>
      <c r="R25" s="311"/>
      <c r="S25" s="325"/>
      <c r="T25" s="325"/>
      <c r="U25" s="316"/>
      <c r="V25" s="319"/>
      <c r="W25" s="60"/>
      <c r="X25" s="60"/>
      <c r="Y25" s="398"/>
      <c r="Z25" s="316"/>
      <c r="AA25" s="61"/>
      <c r="AB25" s="406"/>
      <c r="AC25" s="325"/>
      <c r="AD25" s="322"/>
      <c r="AE25" s="299"/>
      <c r="AF25" s="300"/>
      <c r="AG25" s="46"/>
    </row>
    <row r="26" spans="8:58" ht="16.5" customHeight="1" thickBot="1">
      <c r="K26" s="302"/>
      <c r="L26" s="305"/>
      <c r="M26" s="306"/>
      <c r="N26" s="1"/>
      <c r="Q26" s="195"/>
      <c r="R26" s="193"/>
      <c r="S26" s="195"/>
      <c r="T26" s="195"/>
      <c r="U26" s="195"/>
      <c r="V26" s="193"/>
      <c r="W26" s="193"/>
      <c r="X26" s="193"/>
      <c r="Y26" s="195"/>
      <c r="Z26" s="195"/>
      <c r="AA26" s="192"/>
      <c r="AB26" s="195"/>
      <c r="AC26" s="195"/>
      <c r="AD26" s="195"/>
      <c r="AE26" s="195"/>
      <c r="AF26" s="195"/>
      <c r="AG26" s="46"/>
    </row>
    <row r="27" spans="8:58" ht="16.5" customHeight="1">
      <c r="K27" s="354" t="s">
        <v>144</v>
      </c>
      <c r="L27" s="427">
        <v>660000</v>
      </c>
      <c r="M27" s="428"/>
      <c r="N27" s="1"/>
      <c r="Q27" s="196"/>
      <c r="R27" s="46"/>
      <c r="S27" s="46"/>
      <c r="T27" s="46"/>
      <c r="U27" s="1"/>
      <c r="V27" s="46"/>
      <c r="W27" s="46"/>
      <c r="X27" s="46"/>
      <c r="Y27" s="1"/>
      <c r="Z27" s="1"/>
      <c r="AA27" s="1"/>
      <c r="AB27" s="1"/>
      <c r="AC27" s="46"/>
      <c r="AD27" s="1"/>
      <c r="AE27" s="1"/>
      <c r="AF27" s="46"/>
      <c r="AG27" s="46"/>
    </row>
    <row r="28" spans="8:58" ht="16.5" customHeight="1" thickBot="1">
      <c r="K28" s="367"/>
      <c r="L28" s="429"/>
      <c r="M28" s="430"/>
      <c r="N28" s="1"/>
      <c r="AG28" s="46"/>
    </row>
    <row r="29" spans="8:58" ht="16.5" customHeight="1">
      <c r="N29" s="1"/>
      <c r="AG29" s="46"/>
    </row>
    <row r="30" spans="8:58" ht="16.5" customHeight="1">
      <c r="H30" s="9"/>
      <c r="I30" s="9"/>
      <c r="K30" s="1"/>
      <c r="L30" s="1"/>
      <c r="M30" s="1"/>
      <c r="N30" s="1"/>
      <c r="AG30" s="46"/>
    </row>
    <row r="31" spans="8:58" ht="16.5" customHeight="1" thickBot="1">
      <c r="H31" s="7"/>
      <c r="I31" s="7"/>
      <c r="K31" s="194" t="s">
        <v>49</v>
      </c>
      <c r="L31" s="194"/>
      <c r="M31" s="194"/>
      <c r="N31" s="1"/>
      <c r="O31" s="274" t="s">
        <v>49</v>
      </c>
      <c r="P31" s="274"/>
      <c r="AG31" s="45"/>
    </row>
    <row r="32" spans="8:58" ht="16.5" customHeight="1" thickBot="1">
      <c r="K32" s="189" t="s">
        <v>24</v>
      </c>
      <c r="L32" s="190"/>
      <c r="M32" s="191"/>
      <c r="N32" s="1"/>
      <c r="O32" s="350" t="s">
        <v>18</v>
      </c>
      <c r="P32" s="410"/>
      <c r="Q32" s="271" t="s">
        <v>25</v>
      </c>
      <c r="R32" s="275" t="s">
        <v>22</v>
      </c>
      <c r="S32" s="276"/>
      <c r="T32" s="271" t="s">
        <v>23</v>
      </c>
      <c r="U32" s="271" t="s">
        <v>27</v>
      </c>
      <c r="V32" s="269" t="s">
        <v>47</v>
      </c>
      <c r="W32" s="13"/>
      <c r="X32" s="13"/>
      <c r="Y32" s="269" t="s">
        <v>43</v>
      </c>
      <c r="Z32" s="271" t="s">
        <v>28</v>
      </c>
      <c r="AA32" s="32"/>
      <c r="AB32" s="271" t="s">
        <v>29</v>
      </c>
      <c r="AC32" s="271" t="s">
        <v>30</v>
      </c>
      <c r="AD32" s="271" t="s">
        <v>31</v>
      </c>
      <c r="AE32" s="424" t="s">
        <v>32</v>
      </c>
      <c r="AF32" s="351"/>
      <c r="AG32" s="45"/>
    </row>
    <row r="33" spans="3:33" ht="16.5" customHeight="1" thickBot="1">
      <c r="K33" s="354" t="s">
        <v>21</v>
      </c>
      <c r="L33" s="414">
        <v>2.62</v>
      </c>
      <c r="M33" s="416" t="s">
        <v>50</v>
      </c>
      <c r="N33" s="1"/>
      <c r="O33" s="421"/>
      <c r="P33" s="422"/>
      <c r="Q33" s="272"/>
      <c r="R33" s="38" t="s">
        <v>26</v>
      </c>
      <c r="S33" s="38" t="s">
        <v>25</v>
      </c>
      <c r="T33" s="272"/>
      <c r="U33" s="272"/>
      <c r="V33" s="270"/>
      <c r="W33" s="39"/>
      <c r="X33" s="39"/>
      <c r="Y33" s="270"/>
      <c r="Z33" s="272"/>
      <c r="AA33" s="38"/>
      <c r="AB33" s="272"/>
      <c r="AC33" s="272"/>
      <c r="AD33" s="272"/>
      <c r="AE33" s="425"/>
      <c r="AF33" s="426"/>
      <c r="AG33" s="46"/>
    </row>
    <row r="34" spans="3:33" ht="16.5" customHeight="1" thickBot="1">
      <c r="K34" s="367"/>
      <c r="L34" s="415"/>
      <c r="M34" s="417"/>
      <c r="N34" s="1"/>
      <c r="O34" s="423" t="s">
        <v>20</v>
      </c>
      <c r="P34" s="280">
        <f>IF($AE$18=0,0,$AB$18)</f>
        <v>0</v>
      </c>
      <c r="Q34" s="277">
        <f>ROUNDDOWN(P34*L33/100,0)</f>
        <v>0</v>
      </c>
      <c r="R34" s="277">
        <f>$AE$18</f>
        <v>0</v>
      </c>
      <c r="S34" s="277">
        <f>L35*R34</f>
        <v>0</v>
      </c>
      <c r="T34" s="277">
        <f>IF(R34&gt;0,L37,0)</f>
        <v>0</v>
      </c>
      <c r="U34" s="266">
        <f>T34+S34+Q34</f>
        <v>0</v>
      </c>
      <c r="V34" s="407">
        <f>IF($AH$8=0,0,(S34+T34)*($AH$8*0.1))</f>
        <v>0</v>
      </c>
      <c r="W34" s="136"/>
      <c r="X34" s="136"/>
      <c r="Y34" s="289">
        <f>IF(U34-V34&gt;$L$39,U34-V34-$L$39,0)</f>
        <v>0</v>
      </c>
      <c r="Z34" s="266">
        <f>U34-V34-Y34</f>
        <v>0</v>
      </c>
      <c r="AA34" s="136"/>
      <c r="AB34" s="292">
        <f>AB22</f>
        <v>12</v>
      </c>
      <c r="AC34" s="277">
        <f>ROUNDDOWN(Z34*AB34/12,0)</f>
        <v>0</v>
      </c>
      <c r="AD34" s="263">
        <v>0</v>
      </c>
      <c r="AE34" s="295">
        <f>AC34-AD34</f>
        <v>0</v>
      </c>
      <c r="AF34" s="296"/>
      <c r="AG34" s="46"/>
    </row>
    <row r="35" spans="3:33" ht="16.5" customHeight="1">
      <c r="K35" s="354" t="s">
        <v>22</v>
      </c>
      <c r="L35" s="303">
        <v>13500</v>
      </c>
      <c r="M35" s="418"/>
      <c r="N35" s="1"/>
      <c r="O35" s="284"/>
      <c r="P35" s="281"/>
      <c r="Q35" s="278"/>
      <c r="R35" s="278"/>
      <c r="S35" s="278"/>
      <c r="T35" s="278"/>
      <c r="U35" s="267"/>
      <c r="V35" s="408"/>
      <c r="W35" s="136"/>
      <c r="X35" s="136"/>
      <c r="Y35" s="290"/>
      <c r="Z35" s="267"/>
      <c r="AA35" s="136"/>
      <c r="AB35" s="293"/>
      <c r="AC35" s="278"/>
      <c r="AD35" s="264"/>
      <c r="AE35" s="297"/>
      <c r="AF35" s="298"/>
      <c r="AG35" s="46"/>
    </row>
    <row r="36" spans="3:33" ht="16.5" customHeight="1" thickBot="1">
      <c r="K36" s="367"/>
      <c r="L36" s="419"/>
      <c r="M36" s="420"/>
      <c r="N36" s="1"/>
      <c r="O36" s="284"/>
      <c r="P36" s="281"/>
      <c r="Q36" s="278"/>
      <c r="R36" s="278"/>
      <c r="S36" s="278"/>
      <c r="T36" s="278"/>
      <c r="U36" s="267"/>
      <c r="V36" s="408"/>
      <c r="W36" s="134"/>
      <c r="X36" s="134"/>
      <c r="Y36" s="290"/>
      <c r="Z36" s="267"/>
      <c r="AA36" s="133"/>
      <c r="AB36" s="293"/>
      <c r="AC36" s="278"/>
      <c r="AD36" s="264"/>
      <c r="AE36" s="297"/>
      <c r="AF36" s="298"/>
      <c r="AG36" s="46"/>
    </row>
    <row r="37" spans="3:33" ht="16.5" customHeight="1" thickBot="1">
      <c r="K37" s="354" t="s">
        <v>23</v>
      </c>
      <c r="L37" s="427">
        <v>6700</v>
      </c>
      <c r="M37" s="428"/>
      <c r="N37" s="1"/>
      <c r="O37" s="285"/>
      <c r="P37" s="282"/>
      <c r="Q37" s="279"/>
      <c r="R37" s="279"/>
      <c r="S37" s="279"/>
      <c r="T37" s="279"/>
      <c r="U37" s="268"/>
      <c r="V37" s="409"/>
      <c r="W37" s="135"/>
      <c r="X37" s="135"/>
      <c r="Y37" s="291"/>
      <c r="Z37" s="268"/>
      <c r="AA37" s="137"/>
      <c r="AB37" s="294"/>
      <c r="AC37" s="279"/>
      <c r="AD37" s="265"/>
      <c r="AE37" s="299"/>
      <c r="AF37" s="300"/>
      <c r="AG37" s="46"/>
    </row>
    <row r="38" spans="3:33" ht="16.5" customHeight="1" thickBot="1">
      <c r="K38" s="367"/>
      <c r="L38" s="429"/>
      <c r="M38" s="430"/>
      <c r="N38" s="1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G38" s="46"/>
    </row>
    <row r="39" spans="3:33" ht="16.5" customHeight="1">
      <c r="K39" s="354" t="s">
        <v>144</v>
      </c>
      <c r="L39" s="427">
        <v>170000</v>
      </c>
      <c r="M39" s="42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G39" s="46"/>
    </row>
    <row r="40" spans="3:33" ht="16.5" customHeight="1" thickBot="1">
      <c r="K40" s="367"/>
      <c r="L40" s="429"/>
      <c r="M40" s="430"/>
      <c r="N40" s="1"/>
      <c r="O40" s="1"/>
      <c r="P40" s="1"/>
      <c r="AD40" s="1"/>
      <c r="AE40" s="1"/>
      <c r="AG40" s="46"/>
    </row>
    <row r="41" spans="3:33" ht="16.5" customHeight="1">
      <c r="C41" s="1"/>
      <c r="D41" s="1"/>
      <c r="E41" s="1"/>
      <c r="F41" s="1"/>
      <c r="G41" s="1"/>
      <c r="H41" s="1"/>
      <c r="I41" s="1"/>
      <c r="J41" s="1"/>
      <c r="N41" s="1"/>
      <c r="AG41" s="47"/>
    </row>
    <row r="42" spans="3:33" ht="16.5" customHeight="1">
      <c r="F42" s="87"/>
      <c r="G42" s="87"/>
      <c r="H42" s="87"/>
      <c r="I42" s="87"/>
      <c r="J42" s="87"/>
      <c r="K42" s="87"/>
    </row>
    <row r="43" spans="3:33" ht="16.5" customHeight="1" thickBot="1">
      <c r="F43" s="85"/>
      <c r="G43" s="85"/>
      <c r="H43" s="86"/>
      <c r="I43" s="86"/>
      <c r="J43" s="86"/>
      <c r="K43" t="s">
        <v>100</v>
      </c>
      <c r="O43" s="198" t="s">
        <v>100</v>
      </c>
      <c r="P43" s="198"/>
    </row>
    <row r="44" spans="3:33" ht="16.5" customHeight="1" thickBot="1">
      <c r="F44" s="90" t="s">
        <v>82</v>
      </c>
      <c r="G44" s="90"/>
      <c r="H44" s="90" t="s">
        <v>83</v>
      </c>
      <c r="I44" s="91" t="s">
        <v>84</v>
      </c>
      <c r="J44" s="87"/>
      <c r="K44" s="326" t="s">
        <v>24</v>
      </c>
      <c r="L44" s="327"/>
      <c r="M44" s="328"/>
      <c r="O44" s="350" t="s">
        <v>18</v>
      </c>
      <c r="P44" s="410"/>
      <c r="Q44" s="271" t="s">
        <v>25</v>
      </c>
      <c r="R44" s="275" t="s">
        <v>22</v>
      </c>
      <c r="S44" s="276"/>
      <c r="T44" s="271" t="s">
        <v>23</v>
      </c>
      <c r="U44" s="271" t="s">
        <v>27</v>
      </c>
      <c r="V44" s="269" t="s">
        <v>47</v>
      </c>
      <c r="W44" s="13"/>
      <c r="X44" s="13"/>
      <c r="Y44" s="269" t="s">
        <v>43</v>
      </c>
      <c r="Z44" s="271" t="s">
        <v>28</v>
      </c>
      <c r="AA44" s="32"/>
      <c r="AB44" s="271" t="s">
        <v>29</v>
      </c>
      <c r="AC44" s="271" t="s">
        <v>30</v>
      </c>
      <c r="AD44" s="271" t="s">
        <v>31</v>
      </c>
      <c r="AE44" s="424" t="s">
        <v>32</v>
      </c>
      <c r="AF44" s="351"/>
    </row>
    <row r="45" spans="3:33" ht="16.5" customHeight="1">
      <c r="F45" s="90" t="s">
        <v>85</v>
      </c>
      <c r="G45" s="92" t="s">
        <v>94</v>
      </c>
      <c r="H45" s="90"/>
      <c r="I45" s="91">
        <v>1868</v>
      </c>
      <c r="K45" s="301" t="s">
        <v>21</v>
      </c>
      <c r="L45" s="435">
        <v>3.02</v>
      </c>
      <c r="M45" s="332" t="s">
        <v>50</v>
      </c>
      <c r="O45" s="411"/>
      <c r="P45" s="412"/>
      <c r="Q45" s="272"/>
      <c r="R45" s="38" t="s">
        <v>26</v>
      </c>
      <c r="S45" s="201" t="s">
        <v>146</v>
      </c>
      <c r="T45" s="272"/>
      <c r="U45" s="272"/>
      <c r="V45" s="270"/>
      <c r="W45" s="39"/>
      <c r="X45" s="39"/>
      <c r="Y45" s="270"/>
      <c r="Z45" s="272"/>
      <c r="AA45" s="38"/>
      <c r="AB45" s="272"/>
      <c r="AC45" s="272"/>
      <c r="AD45" s="272"/>
      <c r="AE45" s="425"/>
      <c r="AF45" s="426"/>
    </row>
    <row r="46" spans="3:33" ht="16.5" customHeight="1" thickBot="1">
      <c r="F46" s="90" t="s">
        <v>86</v>
      </c>
      <c r="G46" s="92" t="str">
        <f>LEFT(TEXT(H46,"ge"),1)</f>
        <v>T</v>
      </c>
      <c r="H46" s="93">
        <v>4743</v>
      </c>
      <c r="I46" s="91">
        <f t="shared" ref="I46:I47" si="22">YEAR(H46)-1</f>
        <v>1911</v>
      </c>
      <c r="K46" s="302"/>
      <c r="L46" s="436"/>
      <c r="M46" s="333"/>
      <c r="O46" s="283" t="s">
        <v>20</v>
      </c>
      <c r="P46" s="280">
        <f>AB17</f>
        <v>0</v>
      </c>
      <c r="Q46" s="277">
        <f>ROUNDDOWN(P46*L45/100,0)</f>
        <v>0</v>
      </c>
      <c r="R46" s="286">
        <f>$AE$17</f>
        <v>0</v>
      </c>
      <c r="S46" s="277">
        <f>R46*L47</f>
        <v>0</v>
      </c>
      <c r="T46" s="277">
        <f>IF(AE17&gt;0,$L$49,0)</f>
        <v>0</v>
      </c>
      <c r="U46" s="266">
        <f>T46+S46+Q46</f>
        <v>0</v>
      </c>
      <c r="V46" s="407">
        <f>IF($AH$8=0,0,(S46+T46)*($AH$8*0.1))</f>
        <v>0</v>
      </c>
      <c r="W46" s="54"/>
      <c r="X46" s="54"/>
      <c r="Y46" s="289">
        <f>IF(U46-V46&gt;$L$51,U46-V46-$L$51,0)</f>
        <v>0</v>
      </c>
      <c r="Z46" s="266">
        <f>U46-V46-Y46</f>
        <v>0</v>
      </c>
      <c r="AA46" s="55"/>
      <c r="AB46" s="292">
        <f>AB34</f>
        <v>12</v>
      </c>
      <c r="AC46" s="277">
        <f>ROUNDDOWN(Z46*AB46/12,0)</f>
        <v>0</v>
      </c>
      <c r="AD46" s="263">
        <v>0</v>
      </c>
      <c r="AE46" s="295">
        <f>AC46-AD46</f>
        <v>0</v>
      </c>
      <c r="AF46" s="296"/>
    </row>
    <row r="47" spans="3:33" ht="16.5" customHeight="1">
      <c r="F47" s="90" t="s">
        <v>87</v>
      </c>
      <c r="G47" s="92" t="str">
        <f>LEFT(TEXT(H47,"ge"),1)</f>
        <v>S</v>
      </c>
      <c r="H47" s="93">
        <v>9856</v>
      </c>
      <c r="I47" s="91">
        <f t="shared" si="22"/>
        <v>1925</v>
      </c>
      <c r="K47" s="301" t="s">
        <v>22</v>
      </c>
      <c r="L47" s="431">
        <v>12900</v>
      </c>
      <c r="M47" s="432" t="e">
        <f>VLOOKUP($J$20,#REF!,3,0)</f>
        <v>#REF!</v>
      </c>
      <c r="O47" s="284"/>
      <c r="P47" s="281"/>
      <c r="Q47" s="278"/>
      <c r="R47" s="287"/>
      <c r="S47" s="278"/>
      <c r="T47" s="278"/>
      <c r="U47" s="267"/>
      <c r="V47" s="408"/>
      <c r="W47" s="56"/>
      <c r="X47" s="56"/>
      <c r="Y47" s="290"/>
      <c r="Z47" s="267"/>
      <c r="AA47" s="57"/>
      <c r="AB47" s="293"/>
      <c r="AC47" s="278"/>
      <c r="AD47" s="264"/>
      <c r="AE47" s="297"/>
      <c r="AF47" s="298"/>
    </row>
    <row r="48" spans="3:33" ht="16.5" customHeight="1" thickBot="1">
      <c r="F48" s="90" t="s">
        <v>88</v>
      </c>
      <c r="G48" s="92" t="str">
        <f>LEFT(TEXT(H48,"ge"),1)</f>
        <v>H</v>
      </c>
      <c r="H48" s="93">
        <v>32516</v>
      </c>
      <c r="I48" s="91">
        <f>YEAR(H48)-1</f>
        <v>1988</v>
      </c>
      <c r="K48" s="302"/>
      <c r="L48" s="433"/>
      <c r="M48" s="434"/>
      <c r="O48" s="284"/>
      <c r="P48" s="281"/>
      <c r="Q48" s="278"/>
      <c r="R48" s="287"/>
      <c r="S48" s="278"/>
      <c r="T48" s="278"/>
      <c r="U48" s="267"/>
      <c r="V48" s="408"/>
      <c r="W48" s="58"/>
      <c r="X48" s="58"/>
      <c r="Y48" s="290"/>
      <c r="Z48" s="267"/>
      <c r="AA48" s="59"/>
      <c r="AB48" s="293"/>
      <c r="AC48" s="278"/>
      <c r="AD48" s="264"/>
      <c r="AE48" s="297"/>
      <c r="AF48" s="298"/>
    </row>
    <row r="49" spans="6:32" ht="16.5" customHeight="1" thickBot="1">
      <c r="F49" s="108" t="s">
        <v>104</v>
      </c>
      <c r="G49" s="92" t="s">
        <v>105</v>
      </c>
      <c r="H49" s="123">
        <v>43586</v>
      </c>
      <c r="I49" s="91">
        <f>YEAR(H49)-1</f>
        <v>2018</v>
      </c>
      <c r="K49" s="301" t="s">
        <v>23</v>
      </c>
      <c r="L49" s="431">
        <v>8300</v>
      </c>
      <c r="M49" s="432" t="e">
        <f>VLOOKUP($J$20,#REF!,3,0)</f>
        <v>#REF!</v>
      </c>
      <c r="O49" s="285"/>
      <c r="P49" s="282"/>
      <c r="Q49" s="279"/>
      <c r="R49" s="288"/>
      <c r="S49" s="279"/>
      <c r="T49" s="279"/>
      <c r="U49" s="268"/>
      <c r="V49" s="409"/>
      <c r="W49" s="60"/>
      <c r="X49" s="60"/>
      <c r="Y49" s="291"/>
      <c r="Z49" s="268"/>
      <c r="AA49" s="61"/>
      <c r="AB49" s="294"/>
      <c r="AC49" s="279"/>
      <c r="AD49" s="265"/>
      <c r="AE49" s="299"/>
      <c r="AF49" s="300"/>
    </row>
    <row r="50" spans="6:32" ht="16.5" customHeight="1" thickBot="1">
      <c r="K50" s="302"/>
      <c r="L50" s="433"/>
      <c r="M50" s="434"/>
    </row>
    <row r="51" spans="6:32" ht="16.5" customHeight="1">
      <c r="K51" s="354" t="s">
        <v>144</v>
      </c>
      <c r="L51" s="427">
        <v>260000</v>
      </c>
      <c r="M51" s="428"/>
    </row>
    <row r="52" spans="6:32" ht="16.5" customHeight="1" thickBot="1">
      <c r="K52" s="367"/>
      <c r="L52" s="429"/>
      <c r="M52" s="430"/>
      <c r="Q52" s="399" t="s">
        <v>33</v>
      </c>
      <c r="R52" s="399"/>
      <c r="S52" s="399" t="s">
        <v>34</v>
      </c>
      <c r="T52" s="399" t="s">
        <v>35</v>
      </c>
      <c r="U52" s="399" t="s">
        <v>36</v>
      </c>
      <c r="V52" s="399" t="s">
        <v>37</v>
      </c>
      <c r="W52" s="33"/>
      <c r="X52" s="33"/>
      <c r="Y52" s="399" t="s">
        <v>38</v>
      </c>
      <c r="Z52" s="399" t="s">
        <v>39</v>
      </c>
      <c r="AA52" s="33"/>
      <c r="AB52" s="399" t="s">
        <v>40</v>
      </c>
      <c r="AC52" s="399"/>
    </row>
    <row r="53" spans="6:32" ht="16.5" customHeight="1">
      <c r="Q53" s="399"/>
      <c r="R53" s="399"/>
      <c r="S53" s="399"/>
      <c r="T53" s="399"/>
      <c r="U53" s="399"/>
      <c r="V53" s="399"/>
      <c r="W53" s="62"/>
      <c r="X53" s="62"/>
      <c r="Y53" s="399"/>
      <c r="Z53" s="399"/>
      <c r="AA53" s="62"/>
      <c r="AB53" s="399"/>
      <c r="AC53" s="399"/>
    </row>
    <row r="54" spans="6:32" ht="16.5" customHeight="1">
      <c r="Q54" s="413" t="e">
        <f>IF(R34&gt;=1,(ROUNDDOWN(AE22,-2)+ROUNDDOWN(AE34,-2)+ROUNDDOWN(AE46,-2)),ROUNDDOWN(AE22,-2)+ROUNDDOWN(AE46,-2))</f>
        <v>#DIV/0!</v>
      </c>
      <c r="R54" s="413"/>
      <c r="S54" s="273"/>
      <c r="T54" s="273"/>
      <c r="U54" s="273"/>
      <c r="V54" s="273"/>
      <c r="W54" s="52"/>
      <c r="X54" s="52"/>
      <c r="Y54" s="273"/>
      <c r="Z54" s="273"/>
      <c r="AA54" s="52"/>
      <c r="AB54" s="273"/>
      <c r="AC54" s="273"/>
    </row>
    <row r="55" spans="6:32" ht="16.5" customHeight="1">
      <c r="Q55" s="413"/>
      <c r="R55" s="413"/>
      <c r="S55" s="273"/>
      <c r="T55" s="273"/>
      <c r="U55" s="273"/>
      <c r="V55" s="273"/>
      <c r="W55" s="52"/>
      <c r="X55" s="52"/>
      <c r="Y55" s="273"/>
      <c r="Z55" s="273"/>
      <c r="AA55" s="52"/>
      <c r="AB55" s="273"/>
      <c r="AC55" s="273"/>
    </row>
    <row r="56" spans="6:32" ht="16.5" customHeight="1">
      <c r="Q56" s="413"/>
      <c r="R56" s="413"/>
      <c r="S56" s="273"/>
      <c r="T56" s="273"/>
      <c r="U56" s="273"/>
      <c r="V56" s="273"/>
      <c r="W56" s="53"/>
      <c r="X56" s="53"/>
      <c r="Y56" s="273"/>
      <c r="Z56" s="273"/>
      <c r="AA56" s="53"/>
      <c r="AB56" s="273"/>
      <c r="AC56" s="273"/>
    </row>
    <row r="98" spans="53:53" ht="16.5" customHeight="1">
      <c r="BA98" s="124"/>
    </row>
    <row r="99" spans="53:53" ht="16.5" customHeight="1">
      <c r="BA99" s="124"/>
    </row>
    <row r="100" spans="53:53" ht="16.5" customHeight="1">
      <c r="BA100" s="124"/>
    </row>
    <row r="101" spans="53:53" ht="16.5" customHeight="1">
      <c r="BA101" s="124"/>
    </row>
    <row r="102" spans="53:53" ht="16.5" customHeight="1">
      <c r="BA102" s="124"/>
    </row>
    <row r="103" spans="53:53" ht="16.5" customHeight="1">
      <c r="BA103" s="124"/>
    </row>
    <row r="104" spans="53:53" ht="16.5" customHeight="1">
      <c r="BA104" s="124"/>
    </row>
    <row r="105" spans="53:53" ht="16.5" customHeight="1">
      <c r="BA105" s="124"/>
    </row>
    <row r="106" spans="53:53" ht="16.5" customHeight="1">
      <c r="BA106" s="124"/>
    </row>
    <row r="107" spans="53:53" ht="16.5" customHeight="1">
      <c r="BA107" s="124"/>
    </row>
    <row r="108" spans="53:53" ht="16.5" customHeight="1">
      <c r="BA108" s="124"/>
    </row>
    <row r="109" spans="53:53" ht="16.5" customHeight="1">
      <c r="BA109" s="124"/>
    </row>
    <row r="110" spans="53:53" ht="16.5" customHeight="1">
      <c r="BA110" s="124"/>
    </row>
    <row r="111" spans="53:53" ht="16.5" customHeight="1">
      <c r="BA111" s="124"/>
    </row>
    <row r="112" spans="53:53" ht="16.5" customHeight="1">
      <c r="BA112" s="124"/>
    </row>
    <row r="113" spans="53:53" ht="16.5" customHeight="1">
      <c r="BA113" s="124"/>
    </row>
    <row r="114" spans="53:53" ht="16.5" customHeight="1">
      <c r="BA114" s="124"/>
    </row>
    <row r="115" spans="53:53" ht="16.5" customHeight="1">
      <c r="BA115" s="124"/>
    </row>
    <row r="116" spans="53:53" ht="16.5" customHeight="1">
      <c r="BA116" s="124"/>
    </row>
    <row r="117" spans="53:53" ht="16.5" customHeight="1">
      <c r="BA117" s="124"/>
    </row>
    <row r="118" spans="53:53" ht="16.5" customHeight="1">
      <c r="BA118" s="124"/>
    </row>
    <row r="119" spans="53:53" ht="16.5" customHeight="1">
      <c r="BA119" s="124"/>
    </row>
    <row r="120" spans="53:53" ht="16.5" customHeight="1">
      <c r="BA120" s="124"/>
    </row>
    <row r="121" spans="53:53" ht="16.5" customHeight="1">
      <c r="BA121" s="124"/>
    </row>
    <row r="122" spans="53:53" ht="16.5" customHeight="1">
      <c r="BA122" s="124"/>
    </row>
    <row r="123" spans="53:53" ht="16.5" customHeight="1">
      <c r="BA123" s="124"/>
    </row>
    <row r="124" spans="53:53" ht="16.5" customHeight="1">
      <c r="BA124" s="124"/>
    </row>
    <row r="125" spans="53:53" ht="16.5" customHeight="1">
      <c r="BA125" s="124"/>
    </row>
    <row r="126" spans="53:53" ht="16.5" customHeight="1">
      <c r="BA126" s="124"/>
    </row>
    <row r="127" spans="53:53" ht="16.5" customHeight="1">
      <c r="BA127" s="124"/>
    </row>
    <row r="128" spans="53:53" ht="16.5" customHeight="1">
      <c r="BA128" s="124"/>
    </row>
    <row r="129" spans="53:53" ht="16.5" customHeight="1">
      <c r="BA129" s="124"/>
    </row>
    <row r="130" spans="53:53" ht="16.5" customHeight="1">
      <c r="BA130" s="124"/>
    </row>
    <row r="131" spans="53:53" ht="16.5" customHeight="1">
      <c r="BA131" s="124"/>
    </row>
    <row r="132" spans="53:53" ht="16.5" customHeight="1">
      <c r="BA132" s="124"/>
    </row>
    <row r="133" spans="53:53" ht="16.5" customHeight="1">
      <c r="BA133" s="124"/>
    </row>
    <row r="134" spans="53:53" ht="16.5" customHeight="1">
      <c r="BA134" s="124"/>
    </row>
    <row r="135" spans="53:53" ht="16.5" customHeight="1">
      <c r="BA135" s="124"/>
    </row>
    <row r="136" spans="53:53" ht="16.5" customHeight="1">
      <c r="BA136" s="124"/>
    </row>
    <row r="137" spans="53:53" ht="16.5" customHeight="1">
      <c r="BA137" s="124"/>
    </row>
    <row r="138" spans="53:53" ht="16.5" customHeight="1">
      <c r="BA138" s="124"/>
    </row>
    <row r="139" spans="53:53" ht="16.5" customHeight="1">
      <c r="BA139" s="124"/>
    </row>
    <row r="140" spans="53:53" ht="16.5" customHeight="1">
      <c r="BA140" s="124"/>
    </row>
    <row r="141" spans="53:53" ht="16.5" customHeight="1">
      <c r="BA141" s="124"/>
    </row>
    <row r="142" spans="53:53" ht="16.5" customHeight="1">
      <c r="BA142" s="124"/>
    </row>
    <row r="143" spans="53:53" ht="16.5" customHeight="1">
      <c r="BA143" s="124"/>
    </row>
    <row r="144" spans="53:53" ht="16.5" customHeight="1">
      <c r="BA144" s="124"/>
    </row>
    <row r="145" spans="53:53" ht="16.5" customHeight="1">
      <c r="BA145" s="124"/>
    </row>
    <row r="146" spans="53:53" ht="16.5" customHeight="1">
      <c r="BA146" s="124"/>
    </row>
    <row r="147" spans="53:53" ht="16.5" customHeight="1">
      <c r="BA147" s="124"/>
    </row>
    <row r="148" spans="53:53" ht="16.5" customHeight="1">
      <c r="BA148" s="124"/>
    </row>
    <row r="149" spans="53:53" ht="16.5" customHeight="1">
      <c r="BA149" s="124"/>
    </row>
    <row r="150" spans="53:53" ht="16.5" customHeight="1">
      <c r="BA150" s="124"/>
    </row>
    <row r="151" spans="53:53" ht="16.5" customHeight="1">
      <c r="BA151" s="124"/>
    </row>
    <row r="152" spans="53:53" ht="16.5" customHeight="1">
      <c r="BA152" s="124"/>
    </row>
    <row r="153" spans="53:53" ht="16.5" customHeight="1">
      <c r="BA153" s="124"/>
    </row>
    <row r="154" spans="53:53" ht="16.5" customHeight="1">
      <c r="BA154" s="124"/>
    </row>
    <row r="155" spans="53:53" ht="16.5" customHeight="1">
      <c r="BA155" s="124"/>
    </row>
    <row r="156" spans="53:53" ht="16.5" customHeight="1">
      <c r="BA156" s="124"/>
    </row>
    <row r="157" spans="53:53" ht="16.5" customHeight="1">
      <c r="BA157" s="124"/>
    </row>
    <row r="158" spans="53:53" ht="16.5" customHeight="1">
      <c r="BA158" s="124"/>
    </row>
    <row r="159" spans="53:53" ht="16.5" customHeight="1">
      <c r="BA159" s="124"/>
    </row>
    <row r="160" spans="53:53" ht="16.5" customHeight="1">
      <c r="BA160" s="124"/>
    </row>
    <row r="161" spans="53:53" ht="16.5" customHeight="1">
      <c r="BA161" s="124"/>
    </row>
    <row r="162" spans="53:53" ht="16.5" customHeight="1">
      <c r="BA162" s="124"/>
    </row>
    <row r="163" spans="53:53" ht="16.5" customHeight="1">
      <c r="BA163" s="124"/>
    </row>
    <row r="164" spans="53:53" ht="16.5" customHeight="1">
      <c r="BA164" s="124"/>
    </row>
    <row r="165" spans="53:53" ht="16.5" customHeight="1">
      <c r="BA165" s="124"/>
    </row>
    <row r="166" spans="53:53" ht="16.5" customHeight="1">
      <c r="BA166" s="124"/>
    </row>
    <row r="167" spans="53:53" ht="16.5" customHeight="1">
      <c r="BA167" s="124"/>
    </row>
    <row r="168" spans="53:53" ht="16.5" customHeight="1">
      <c r="BA168" s="124"/>
    </row>
    <row r="169" spans="53:53" ht="16.5" customHeight="1">
      <c r="BA169" s="124"/>
    </row>
    <row r="170" spans="53:53" ht="16.5" customHeight="1">
      <c r="BA170" s="124"/>
    </row>
    <row r="171" spans="53:53" ht="16.5" customHeight="1">
      <c r="BA171" s="124"/>
    </row>
    <row r="172" spans="53:53" ht="16.5" customHeight="1">
      <c r="BA172" s="124"/>
    </row>
    <row r="173" spans="53:53" ht="16.5" customHeight="1">
      <c r="BA173" s="124"/>
    </row>
    <row r="174" spans="53:53" ht="16.5" customHeight="1">
      <c r="BA174" s="124"/>
    </row>
    <row r="175" spans="53:53" ht="16.5" customHeight="1">
      <c r="BA175" s="124"/>
    </row>
    <row r="176" spans="53:53" ht="16.5" customHeight="1">
      <c r="BA176" s="124"/>
    </row>
    <row r="177" spans="53:53" ht="16.5" customHeight="1">
      <c r="BA177" s="124"/>
    </row>
    <row r="178" spans="53:53" ht="16.5" customHeight="1">
      <c r="BA178" s="124"/>
    </row>
    <row r="179" spans="53:53" ht="16.5" customHeight="1">
      <c r="BA179" s="124"/>
    </row>
    <row r="180" spans="53:53" ht="16.5" customHeight="1">
      <c r="BA180" s="124"/>
    </row>
    <row r="181" spans="53:53" ht="16.5" customHeight="1">
      <c r="BA181" s="124"/>
    </row>
    <row r="182" spans="53:53" ht="16.5" customHeight="1">
      <c r="BA182" s="124"/>
    </row>
    <row r="183" spans="53:53" ht="16.5" customHeight="1">
      <c r="BA183" s="124"/>
    </row>
    <row r="184" spans="53:53" ht="16.5" customHeight="1">
      <c r="BA184" s="124"/>
    </row>
    <row r="185" spans="53:53" ht="16.5" customHeight="1">
      <c r="BA185" s="124"/>
    </row>
    <row r="186" spans="53:53" ht="16.5" customHeight="1">
      <c r="BA186" s="124"/>
    </row>
    <row r="187" spans="53:53" ht="16.5" customHeight="1">
      <c r="BA187" s="124"/>
    </row>
    <row r="188" spans="53:53" ht="16.5" customHeight="1">
      <c r="BA188" s="124"/>
    </row>
    <row r="189" spans="53:53" ht="16.5" customHeight="1">
      <c r="BA189" s="124"/>
    </row>
    <row r="190" spans="53:53" ht="16.5" customHeight="1">
      <c r="BA190" s="124"/>
    </row>
    <row r="191" spans="53:53" ht="16.5" customHeight="1">
      <c r="BA191" s="124"/>
    </row>
    <row r="192" spans="53:53" ht="16.5" customHeight="1">
      <c r="BA192" s="124"/>
    </row>
    <row r="193" spans="53:53" ht="16.5" customHeight="1">
      <c r="BA193" s="124"/>
    </row>
    <row r="194" spans="53:53" ht="16.5" customHeight="1">
      <c r="BA194" s="124"/>
    </row>
    <row r="195" spans="53:53" ht="16.5" customHeight="1">
      <c r="BA195" s="124"/>
    </row>
    <row r="196" spans="53:53" ht="16.5" customHeight="1">
      <c r="BA196" s="124"/>
    </row>
    <row r="197" spans="53:53" ht="16.5" customHeight="1">
      <c r="BA197" s="124"/>
    </row>
    <row r="198" spans="53:53" ht="16.5" customHeight="1">
      <c r="BA198" s="124"/>
    </row>
    <row r="199" spans="53:53" ht="16.5" customHeight="1">
      <c r="BA199" s="124"/>
    </row>
    <row r="200" spans="53:53" ht="16.5" customHeight="1">
      <c r="BA200" s="124"/>
    </row>
    <row r="201" spans="53:53" ht="16.5" customHeight="1">
      <c r="BA201" s="124"/>
    </row>
    <row r="202" spans="53:53" ht="16.5" customHeight="1">
      <c r="BA202" s="124"/>
    </row>
    <row r="203" spans="53:53" ht="16.5" customHeight="1">
      <c r="BA203" s="124"/>
    </row>
    <row r="204" spans="53:53" ht="16.5" customHeight="1">
      <c r="BA204" s="124"/>
    </row>
    <row r="205" spans="53:53" ht="16.5" customHeight="1">
      <c r="BA205" s="124"/>
    </row>
    <row r="206" spans="53:53" ht="16.5" customHeight="1">
      <c r="BA206" s="124"/>
    </row>
    <row r="207" spans="53:53" ht="16.5" customHeight="1">
      <c r="BA207" s="124"/>
    </row>
    <row r="208" spans="53:53" ht="16.5" customHeight="1">
      <c r="BA208" s="124"/>
    </row>
    <row r="209" spans="53:53" ht="16.5" customHeight="1">
      <c r="BA209" s="124"/>
    </row>
    <row r="210" spans="53:53" ht="16.5" customHeight="1">
      <c r="BA210" s="124"/>
    </row>
    <row r="211" spans="53:53" ht="16.5" customHeight="1">
      <c r="BA211" s="124"/>
    </row>
    <row r="212" spans="53:53" ht="16.5" customHeight="1">
      <c r="BA212" s="124"/>
    </row>
    <row r="213" spans="53:53" ht="16.5" customHeight="1">
      <c r="BA213" s="124"/>
    </row>
    <row r="214" spans="53:53" ht="16.5" customHeight="1">
      <c r="BA214" s="124"/>
    </row>
    <row r="215" spans="53:53" ht="16.5" customHeight="1">
      <c r="BA215" s="124"/>
    </row>
    <row r="216" spans="53:53" ht="16.5" customHeight="1">
      <c r="BA216" s="124"/>
    </row>
    <row r="217" spans="53:53" ht="16.5" customHeight="1">
      <c r="BA217" s="124"/>
    </row>
    <row r="218" spans="53:53" ht="16.5" customHeight="1">
      <c r="BA218" s="124"/>
    </row>
    <row r="219" spans="53:53" ht="16.5" customHeight="1">
      <c r="BA219" s="124"/>
    </row>
    <row r="220" spans="53:53" ht="16.5" customHeight="1">
      <c r="BA220" s="124"/>
    </row>
    <row r="221" spans="53:53" ht="16.5" customHeight="1">
      <c r="BA221" s="124"/>
    </row>
    <row r="222" spans="53:53" ht="16.5" customHeight="1">
      <c r="BA222" s="124"/>
    </row>
    <row r="223" spans="53:53" ht="16.5" customHeight="1">
      <c r="BA223" s="124"/>
    </row>
    <row r="224" spans="53:53" ht="16.5" customHeight="1">
      <c r="BA224" s="124"/>
    </row>
    <row r="225" spans="53:53" ht="16.5" customHeight="1">
      <c r="BA225" s="124"/>
    </row>
    <row r="226" spans="53:53" ht="16.5" customHeight="1">
      <c r="BA226" s="124"/>
    </row>
    <row r="227" spans="53:53" ht="16.5" customHeight="1">
      <c r="BA227" s="124"/>
    </row>
    <row r="228" spans="53:53" ht="16.5" customHeight="1">
      <c r="BA228" s="124"/>
    </row>
    <row r="229" spans="53:53" ht="16.5" customHeight="1">
      <c r="BA229" s="124"/>
    </row>
    <row r="230" spans="53:53" ht="16.5" customHeight="1">
      <c r="BA230" s="124"/>
    </row>
    <row r="231" spans="53:53" ht="16.5" customHeight="1">
      <c r="BA231" s="124"/>
    </row>
    <row r="232" spans="53:53" ht="16.5" customHeight="1">
      <c r="BA232" s="124"/>
    </row>
    <row r="233" spans="53:53" ht="16.5" customHeight="1">
      <c r="BA233" s="124"/>
    </row>
    <row r="234" spans="53:53" ht="16.5" customHeight="1">
      <c r="BA234" s="124"/>
    </row>
    <row r="235" spans="53:53" ht="16.5" customHeight="1">
      <c r="BA235" s="124"/>
    </row>
    <row r="236" spans="53:53" ht="16.5" customHeight="1">
      <c r="BA236" s="124"/>
    </row>
    <row r="237" spans="53:53" ht="16.5" customHeight="1">
      <c r="BA237" s="124"/>
    </row>
    <row r="238" spans="53:53" ht="16.5" customHeight="1">
      <c r="BA238" s="124"/>
    </row>
    <row r="239" spans="53:53" ht="16.5" customHeight="1">
      <c r="BA239" s="124"/>
    </row>
    <row r="240" spans="53:53" ht="16.5" customHeight="1">
      <c r="BA240" s="124"/>
    </row>
    <row r="241" spans="53:53" ht="16.5" customHeight="1">
      <c r="BA241" s="124"/>
    </row>
    <row r="242" spans="53:53" ht="16.5" customHeight="1">
      <c r="BA242" s="124"/>
    </row>
    <row r="243" spans="53:53" ht="16.5" customHeight="1">
      <c r="BA243" s="124"/>
    </row>
    <row r="244" spans="53:53" ht="16.5" customHeight="1">
      <c r="BA244" s="124"/>
    </row>
    <row r="245" spans="53:53" ht="16.5" customHeight="1">
      <c r="BA245" s="124"/>
    </row>
    <row r="246" spans="53:53" ht="16.5" customHeight="1">
      <c r="BA246" s="124"/>
    </row>
    <row r="247" spans="53:53" ht="16.5" customHeight="1">
      <c r="BA247" s="124"/>
    </row>
    <row r="248" spans="53:53" ht="16.5" customHeight="1">
      <c r="BA248" s="124"/>
    </row>
    <row r="249" spans="53:53" ht="16.5" customHeight="1">
      <c r="BA249" s="124"/>
    </row>
    <row r="250" spans="53:53" ht="16.5" customHeight="1">
      <c r="BA250" s="124"/>
    </row>
    <row r="251" spans="53:53" ht="16.5" customHeight="1">
      <c r="BA251" s="124"/>
    </row>
    <row r="252" spans="53:53" ht="16.5" customHeight="1">
      <c r="BA252" s="124"/>
    </row>
    <row r="253" spans="53:53" ht="16.5" customHeight="1">
      <c r="BA253" s="124"/>
    </row>
    <row r="254" spans="53:53" ht="16.5" customHeight="1">
      <c r="BA254" s="124"/>
    </row>
    <row r="255" spans="53:53" ht="16.5" customHeight="1">
      <c r="BA255" s="124"/>
    </row>
    <row r="256" spans="53:53" ht="16.5" customHeight="1">
      <c r="BA256" s="124"/>
    </row>
    <row r="257" spans="53:53" ht="16.5" customHeight="1">
      <c r="BA257" s="124"/>
    </row>
    <row r="258" spans="53:53" ht="16.5" customHeight="1">
      <c r="BA258" s="124"/>
    </row>
    <row r="259" spans="53:53" ht="16.5" customHeight="1">
      <c r="BA259" s="124"/>
    </row>
    <row r="260" spans="53:53" ht="16.5" customHeight="1">
      <c r="BA260" s="124"/>
    </row>
    <row r="261" spans="53:53" ht="16.5" customHeight="1">
      <c r="BA261" s="124"/>
    </row>
    <row r="262" spans="53:53" ht="16.5" customHeight="1">
      <c r="BA262" s="124"/>
    </row>
    <row r="263" spans="53:53" ht="16.5" customHeight="1">
      <c r="BA263" s="124"/>
    </row>
    <row r="264" spans="53:53" ht="16.5" customHeight="1">
      <c r="BA264" s="124"/>
    </row>
    <row r="265" spans="53:53" ht="16.5" customHeight="1">
      <c r="BA265" s="124"/>
    </row>
    <row r="266" spans="53:53" ht="16.5" customHeight="1">
      <c r="BA266" s="124"/>
    </row>
    <row r="267" spans="53:53" ht="16.5" customHeight="1">
      <c r="BA267" s="124"/>
    </row>
    <row r="268" spans="53:53" ht="16.5" customHeight="1">
      <c r="BA268" s="124"/>
    </row>
    <row r="269" spans="53:53" ht="16.5" customHeight="1">
      <c r="BA269" s="124"/>
    </row>
    <row r="270" spans="53:53" ht="16.5" customHeight="1">
      <c r="BA270" s="124"/>
    </row>
    <row r="271" spans="53:53" ht="16.5" customHeight="1">
      <c r="BA271" s="124"/>
    </row>
    <row r="272" spans="53:53" ht="16.5" customHeight="1">
      <c r="BA272" s="124"/>
    </row>
    <row r="273" spans="53:53" ht="16.5" customHeight="1">
      <c r="BA273" s="124"/>
    </row>
    <row r="274" spans="53:53" ht="16.5" customHeight="1">
      <c r="BA274" s="124"/>
    </row>
    <row r="275" spans="53:53" ht="16.5" customHeight="1">
      <c r="BA275" s="124"/>
    </row>
    <row r="276" spans="53:53" ht="16.5" customHeight="1">
      <c r="BA276" s="124"/>
    </row>
    <row r="277" spans="53:53" ht="16.5" customHeight="1">
      <c r="BA277" s="124"/>
    </row>
    <row r="278" spans="53:53" ht="16.5" customHeight="1">
      <c r="BA278" s="124"/>
    </row>
    <row r="279" spans="53:53" ht="16.5" customHeight="1">
      <c r="BA279" s="124"/>
    </row>
    <row r="280" spans="53:53" ht="16.5" customHeight="1">
      <c r="BA280" s="124"/>
    </row>
    <row r="281" spans="53:53" ht="16.5" customHeight="1">
      <c r="BA281" s="124"/>
    </row>
    <row r="282" spans="53:53" ht="16.5" customHeight="1">
      <c r="BA282" s="124"/>
    </row>
    <row r="283" spans="53:53" ht="16.5" customHeight="1">
      <c r="BA283" s="124"/>
    </row>
    <row r="284" spans="53:53" ht="16.5" customHeight="1">
      <c r="BA284" s="124"/>
    </row>
    <row r="285" spans="53:53" ht="16.5" customHeight="1">
      <c r="BA285" s="124"/>
    </row>
    <row r="286" spans="53:53" ht="16.5" customHeight="1">
      <c r="BA286" s="124"/>
    </row>
    <row r="287" spans="53:53" ht="16.5" customHeight="1">
      <c r="BA287" s="124"/>
    </row>
    <row r="288" spans="53:53" ht="16.5" customHeight="1">
      <c r="BA288" s="124"/>
    </row>
    <row r="289" spans="53:53" ht="16.5" customHeight="1">
      <c r="BA289" s="124"/>
    </row>
    <row r="290" spans="53:53" ht="16.5" customHeight="1">
      <c r="BA290" s="124"/>
    </row>
    <row r="291" spans="53:53" ht="16.5" customHeight="1">
      <c r="BA291" s="124"/>
    </row>
    <row r="292" spans="53:53" ht="16.5" customHeight="1">
      <c r="BA292" s="124"/>
    </row>
    <row r="293" spans="53:53" ht="16.5" customHeight="1">
      <c r="BA293" s="124"/>
    </row>
    <row r="294" spans="53:53" ht="16.5" customHeight="1">
      <c r="BA294" s="124"/>
    </row>
    <row r="295" spans="53:53" ht="16.5" customHeight="1">
      <c r="BA295" s="124"/>
    </row>
    <row r="296" spans="53:53" ht="16.5" customHeight="1">
      <c r="BA296" s="124"/>
    </row>
    <row r="297" spans="53:53" ht="16.5" customHeight="1">
      <c r="BA297" s="124"/>
    </row>
    <row r="298" spans="53:53" ht="16.5" customHeight="1">
      <c r="BA298" s="124"/>
    </row>
    <row r="299" spans="53:53" ht="16.5" customHeight="1">
      <c r="BA299" s="124"/>
    </row>
    <row r="300" spans="53:53" ht="16.5" customHeight="1">
      <c r="BA300" s="124"/>
    </row>
    <row r="301" spans="53:53" ht="16.5" customHeight="1">
      <c r="BA301" s="124"/>
    </row>
    <row r="302" spans="53:53" ht="16.5" customHeight="1">
      <c r="BA302" s="124"/>
    </row>
    <row r="303" spans="53:53" ht="16.5" customHeight="1">
      <c r="BA303" s="124"/>
    </row>
    <row r="304" spans="53:53" ht="16.5" customHeight="1">
      <c r="BA304" s="124"/>
    </row>
    <row r="305" spans="53:53" ht="16.5" customHeight="1">
      <c r="BA305" s="124"/>
    </row>
    <row r="306" spans="53:53" ht="16.5" customHeight="1">
      <c r="BA306" s="124"/>
    </row>
    <row r="307" spans="53:53" ht="16.5" customHeight="1">
      <c r="BA307" s="124"/>
    </row>
    <row r="308" spans="53:53" ht="16.5" customHeight="1">
      <c r="BA308" s="124"/>
    </row>
    <row r="309" spans="53:53" ht="16.5" customHeight="1">
      <c r="BA309" s="124"/>
    </row>
    <row r="310" spans="53:53" ht="16.5" customHeight="1">
      <c r="BA310" s="124"/>
    </row>
    <row r="311" spans="53:53" ht="16.5" customHeight="1">
      <c r="BA311" s="124"/>
    </row>
    <row r="312" spans="53:53" ht="16.5" customHeight="1">
      <c r="BA312" s="124"/>
    </row>
    <row r="313" spans="53:53" ht="16.5" customHeight="1">
      <c r="BA313" s="124"/>
    </row>
    <row r="314" spans="53:53" ht="16.5" customHeight="1">
      <c r="BA314" s="124"/>
    </row>
    <row r="315" spans="53:53" ht="16.5" customHeight="1">
      <c r="BA315" s="124"/>
    </row>
    <row r="316" spans="53:53" ht="16.5" customHeight="1">
      <c r="BA316" s="124"/>
    </row>
    <row r="317" spans="53:53" ht="16.5" customHeight="1">
      <c r="BA317" s="124"/>
    </row>
    <row r="318" spans="53:53" ht="16.5" customHeight="1">
      <c r="BA318" s="124"/>
    </row>
    <row r="319" spans="53:53" ht="16.5" customHeight="1">
      <c r="BA319" s="124"/>
    </row>
    <row r="320" spans="53:53" ht="16.5" customHeight="1">
      <c r="BA320" s="124"/>
    </row>
    <row r="321" spans="53:53" ht="16.5" customHeight="1">
      <c r="BA321" s="124"/>
    </row>
    <row r="322" spans="53:53" ht="16.5" customHeight="1">
      <c r="BA322" s="124"/>
    </row>
    <row r="323" spans="53:53" ht="16.5" customHeight="1">
      <c r="BA323" s="124"/>
    </row>
    <row r="324" spans="53:53" ht="16.5" customHeight="1">
      <c r="BA324" s="124"/>
    </row>
    <row r="325" spans="53:53" ht="16.5" customHeight="1">
      <c r="BA325" s="124"/>
    </row>
    <row r="326" spans="53:53" ht="16.5" customHeight="1">
      <c r="BA326" s="124"/>
    </row>
    <row r="327" spans="53:53" ht="16.5" customHeight="1">
      <c r="BA327" s="124"/>
    </row>
    <row r="328" spans="53:53" ht="16.5" customHeight="1">
      <c r="BA328" s="124"/>
    </row>
    <row r="329" spans="53:53" ht="16.5" customHeight="1">
      <c r="BA329" s="124"/>
    </row>
    <row r="330" spans="53:53" ht="16.5" customHeight="1">
      <c r="BA330" s="124"/>
    </row>
    <row r="331" spans="53:53" ht="16.5" customHeight="1">
      <c r="BA331" s="124"/>
    </row>
    <row r="332" spans="53:53" ht="16.5" customHeight="1">
      <c r="BA332" s="124"/>
    </row>
    <row r="333" spans="53:53" ht="16.5" customHeight="1">
      <c r="BA333" s="124"/>
    </row>
    <row r="334" spans="53:53" ht="16.5" customHeight="1">
      <c r="BA334" s="124"/>
    </row>
    <row r="335" spans="53:53" ht="16.5" customHeight="1">
      <c r="BA335" s="124"/>
    </row>
    <row r="336" spans="53:53" ht="16.5" customHeight="1">
      <c r="BA336" s="124"/>
    </row>
    <row r="337" spans="53:53" ht="16.5" customHeight="1">
      <c r="BA337" s="124"/>
    </row>
    <row r="338" spans="53:53" ht="16.5" customHeight="1">
      <c r="BA338" s="124"/>
    </row>
    <row r="339" spans="53:53" ht="16.5" customHeight="1">
      <c r="BA339" s="124"/>
    </row>
    <row r="340" spans="53:53" ht="16.5" customHeight="1">
      <c r="BA340" s="124"/>
    </row>
    <row r="341" spans="53:53" ht="16.5" customHeight="1">
      <c r="BA341" s="124"/>
    </row>
    <row r="342" spans="53:53" ht="16.5" customHeight="1">
      <c r="BA342" s="124"/>
    </row>
    <row r="343" spans="53:53" ht="16.5" customHeight="1">
      <c r="BA343" s="124"/>
    </row>
    <row r="344" spans="53:53" ht="16.5" customHeight="1">
      <c r="BA344" s="124"/>
    </row>
    <row r="345" spans="53:53" ht="16.5" customHeight="1">
      <c r="BA345" s="124"/>
    </row>
    <row r="346" spans="53:53" ht="16.5" customHeight="1">
      <c r="BA346" s="124"/>
    </row>
    <row r="347" spans="53:53" ht="16.5" customHeight="1">
      <c r="BA347" s="124"/>
    </row>
    <row r="348" spans="53:53" ht="16.5" customHeight="1">
      <c r="BA348" s="124"/>
    </row>
    <row r="349" spans="53:53" ht="16.5" customHeight="1">
      <c r="BA349" s="124"/>
    </row>
    <row r="350" spans="53:53" ht="16.5" customHeight="1">
      <c r="BA350" s="124"/>
    </row>
    <row r="351" spans="53:53" ht="16.5" customHeight="1">
      <c r="BA351" s="124"/>
    </row>
    <row r="352" spans="53:53" ht="16.5" customHeight="1">
      <c r="BA352" s="124"/>
    </row>
    <row r="353" spans="53:53" ht="16.5" customHeight="1">
      <c r="BA353" s="124"/>
    </row>
    <row r="354" spans="53:53" ht="16.5" customHeight="1">
      <c r="BA354" s="124"/>
    </row>
    <row r="355" spans="53:53" ht="16.5" customHeight="1">
      <c r="BA355" s="124"/>
    </row>
    <row r="356" spans="53:53" ht="16.5" customHeight="1">
      <c r="BA356" s="124"/>
    </row>
    <row r="357" spans="53:53" ht="16.5" customHeight="1">
      <c r="BA357" s="124"/>
    </row>
    <row r="358" spans="53:53" ht="16.5" customHeight="1">
      <c r="BA358" s="124"/>
    </row>
    <row r="359" spans="53:53" ht="16.5" customHeight="1">
      <c r="BA359" s="124"/>
    </row>
    <row r="360" spans="53:53" ht="16.5" customHeight="1">
      <c r="BA360" s="124"/>
    </row>
    <row r="361" spans="53:53" ht="16.5" customHeight="1">
      <c r="BA361" s="124"/>
    </row>
    <row r="362" spans="53:53" ht="16.5" customHeight="1">
      <c r="BA362" s="124"/>
    </row>
    <row r="363" spans="53:53" ht="16.5" customHeight="1">
      <c r="BA363" s="124"/>
    </row>
    <row r="364" spans="53:53" ht="16.5" customHeight="1">
      <c r="BA364" s="124"/>
    </row>
    <row r="365" spans="53:53" ht="16.5" customHeight="1">
      <c r="BA365" s="124"/>
    </row>
    <row r="366" spans="53:53" ht="16.5" customHeight="1">
      <c r="BA366" s="124"/>
    </row>
    <row r="367" spans="53:53" ht="16.5" customHeight="1">
      <c r="BA367" s="124"/>
    </row>
    <row r="368" spans="53:53" ht="16.5" customHeight="1">
      <c r="BA368" s="124"/>
    </row>
    <row r="369" spans="53:53" ht="16.5" customHeight="1">
      <c r="BA369" s="124"/>
    </row>
    <row r="370" spans="53:53" ht="16.5" customHeight="1">
      <c r="BA370" s="124"/>
    </row>
    <row r="371" spans="53:53" ht="16.5" customHeight="1">
      <c r="BA371" s="124"/>
    </row>
    <row r="372" spans="53:53" ht="16.5" customHeight="1">
      <c r="BA372" s="124"/>
    </row>
    <row r="373" spans="53:53" ht="16.5" customHeight="1">
      <c r="BA373" s="124"/>
    </row>
    <row r="374" spans="53:53" ht="16.5" customHeight="1">
      <c r="BA374" s="124"/>
    </row>
    <row r="375" spans="53:53" ht="16.5" customHeight="1">
      <c r="BA375" s="124"/>
    </row>
    <row r="376" spans="53:53" ht="16.5" customHeight="1">
      <c r="BA376" s="124"/>
    </row>
    <row r="377" spans="53:53" ht="16.5" customHeight="1">
      <c r="BA377" s="124"/>
    </row>
    <row r="378" spans="53:53" ht="16.5" customHeight="1">
      <c r="BA378" s="124"/>
    </row>
    <row r="379" spans="53:53" ht="16.5" customHeight="1">
      <c r="BA379" s="124"/>
    </row>
    <row r="380" spans="53:53" ht="16.5" customHeight="1">
      <c r="BA380" s="124"/>
    </row>
    <row r="381" spans="53:53" ht="16.5" customHeight="1">
      <c r="BA381" s="124"/>
    </row>
    <row r="382" spans="53:53" ht="16.5" customHeight="1">
      <c r="BA382" s="124"/>
    </row>
    <row r="383" spans="53:53" ht="16.5" customHeight="1">
      <c r="BA383" s="124"/>
    </row>
    <row r="384" spans="53:53" ht="16.5" customHeight="1">
      <c r="BA384" s="124"/>
    </row>
    <row r="385" spans="53:53" ht="16.5" customHeight="1">
      <c r="BA385" s="124"/>
    </row>
    <row r="386" spans="53:53" ht="16.5" customHeight="1">
      <c r="BA386" s="124"/>
    </row>
    <row r="387" spans="53:53" ht="16.5" customHeight="1">
      <c r="BA387" s="124"/>
    </row>
    <row r="388" spans="53:53" ht="16.5" customHeight="1">
      <c r="BA388" s="124"/>
    </row>
    <row r="389" spans="53:53" ht="16.5" customHeight="1">
      <c r="BA389" s="124"/>
    </row>
    <row r="390" spans="53:53" ht="16.5" customHeight="1">
      <c r="BA390" s="124"/>
    </row>
    <row r="391" spans="53:53" ht="16.5" customHeight="1">
      <c r="BA391" s="124"/>
    </row>
    <row r="392" spans="53:53" ht="16.5" customHeight="1">
      <c r="BA392" s="124"/>
    </row>
    <row r="393" spans="53:53" ht="16.5" customHeight="1">
      <c r="BA393" s="124"/>
    </row>
    <row r="394" spans="53:53" ht="16.5" customHeight="1">
      <c r="BA394" s="124"/>
    </row>
    <row r="395" spans="53:53" ht="16.5" customHeight="1">
      <c r="BA395" s="124"/>
    </row>
    <row r="396" spans="53:53" ht="16.5" customHeight="1">
      <c r="BA396" s="124"/>
    </row>
    <row r="397" spans="53:53" ht="16.5" customHeight="1">
      <c r="BA397" s="124"/>
    </row>
    <row r="398" spans="53:53" ht="16.5" customHeight="1">
      <c r="BA398" s="124"/>
    </row>
    <row r="399" spans="53:53" ht="16.5" customHeight="1">
      <c r="BA399" s="124"/>
    </row>
    <row r="400" spans="53:53" ht="16.5" customHeight="1">
      <c r="BA400" s="124"/>
    </row>
    <row r="401" spans="53:53" ht="16.5" customHeight="1">
      <c r="BA401" s="124"/>
    </row>
    <row r="402" spans="53:53" ht="16.5" customHeight="1">
      <c r="BA402" s="124"/>
    </row>
    <row r="403" spans="53:53" ht="16.5" customHeight="1">
      <c r="BA403" s="124"/>
    </row>
    <row r="404" spans="53:53" ht="16.5" customHeight="1">
      <c r="BA404" s="124"/>
    </row>
    <row r="405" spans="53:53" ht="16.5" customHeight="1">
      <c r="BA405" s="124"/>
    </row>
    <row r="406" spans="53:53" ht="16.5" customHeight="1">
      <c r="BA406" s="124"/>
    </row>
    <row r="407" spans="53:53" ht="16.5" customHeight="1">
      <c r="BA407" s="124"/>
    </row>
    <row r="408" spans="53:53" ht="16.5" customHeight="1">
      <c r="BA408" s="124"/>
    </row>
    <row r="409" spans="53:53" ht="16.5" customHeight="1">
      <c r="BA409" s="124"/>
    </row>
    <row r="410" spans="53:53" ht="16.5" customHeight="1">
      <c r="BA410" s="124"/>
    </row>
    <row r="411" spans="53:53" ht="16.5" customHeight="1">
      <c r="BA411" s="124"/>
    </row>
    <row r="412" spans="53:53" ht="16.5" customHeight="1">
      <c r="BA412" s="124"/>
    </row>
    <row r="413" spans="53:53" ht="16.5" customHeight="1">
      <c r="BA413" s="124"/>
    </row>
    <row r="414" spans="53:53" ht="16.5" customHeight="1">
      <c r="BA414" s="124"/>
    </row>
    <row r="415" spans="53:53" ht="16.5" customHeight="1">
      <c r="BA415" s="124"/>
    </row>
    <row r="416" spans="53:53" ht="16.5" customHeight="1">
      <c r="BA416" s="124"/>
    </row>
    <row r="417" spans="53:53" ht="16.5" customHeight="1">
      <c r="BA417" s="124"/>
    </row>
    <row r="418" spans="53:53" ht="16.5" customHeight="1">
      <c r="BA418" s="124"/>
    </row>
    <row r="419" spans="53:53" ht="16.5" customHeight="1">
      <c r="BA419" s="124"/>
    </row>
    <row r="420" spans="53:53" ht="16.5" customHeight="1">
      <c r="BA420" s="124"/>
    </row>
    <row r="421" spans="53:53" ht="16.5" customHeight="1">
      <c r="BA421" s="124"/>
    </row>
    <row r="422" spans="53:53" ht="16.5" customHeight="1">
      <c r="BA422" s="124"/>
    </row>
    <row r="423" spans="53:53" ht="16.5" customHeight="1">
      <c r="BA423" s="124"/>
    </row>
    <row r="424" spans="53:53" ht="16.5" customHeight="1">
      <c r="BA424" s="124"/>
    </row>
    <row r="425" spans="53:53" ht="16.5" customHeight="1">
      <c r="BA425" s="124"/>
    </row>
    <row r="426" spans="53:53" ht="16.5" customHeight="1">
      <c r="BA426" s="124"/>
    </row>
    <row r="427" spans="53:53" ht="16.5" customHeight="1">
      <c r="BA427" s="124"/>
    </row>
    <row r="428" spans="53:53" ht="16.5" customHeight="1">
      <c r="BA428" s="124"/>
    </row>
    <row r="429" spans="53:53" ht="16.5" customHeight="1">
      <c r="BA429" s="124"/>
    </row>
    <row r="430" spans="53:53" ht="16.5" customHeight="1">
      <c r="BA430" s="124"/>
    </row>
    <row r="431" spans="53:53" ht="16.5" customHeight="1">
      <c r="BA431" s="124"/>
    </row>
    <row r="432" spans="53:53" ht="16.5" customHeight="1">
      <c r="BA432" s="124"/>
    </row>
    <row r="433" spans="53:53" ht="16.5" customHeight="1">
      <c r="BA433" s="124"/>
    </row>
    <row r="434" spans="53:53" ht="16.5" customHeight="1">
      <c r="BA434" s="124"/>
    </row>
    <row r="435" spans="53:53" ht="16.5" customHeight="1">
      <c r="BA435" s="124"/>
    </row>
    <row r="436" spans="53:53" ht="16.5" customHeight="1">
      <c r="BA436" s="124"/>
    </row>
    <row r="437" spans="53:53" ht="16.5" customHeight="1">
      <c r="BA437" s="124"/>
    </row>
    <row r="438" spans="53:53" ht="16.5" customHeight="1">
      <c r="BA438" s="124"/>
    </row>
    <row r="439" spans="53:53" ht="16.5" customHeight="1">
      <c r="BA439" s="124"/>
    </row>
    <row r="440" spans="53:53" ht="16.5" customHeight="1">
      <c r="BA440" s="124"/>
    </row>
    <row r="441" spans="53:53" ht="16.5" customHeight="1">
      <c r="BA441" s="124"/>
    </row>
    <row r="442" spans="53:53" ht="16.5" customHeight="1">
      <c r="BA442" s="124"/>
    </row>
    <row r="443" spans="53:53" ht="16.5" customHeight="1">
      <c r="BA443" s="124"/>
    </row>
    <row r="444" spans="53:53" ht="16.5" customHeight="1">
      <c r="BA444" s="124"/>
    </row>
    <row r="445" spans="53:53" ht="16.5" customHeight="1">
      <c r="BA445" s="124"/>
    </row>
    <row r="446" spans="53:53" ht="16.5" customHeight="1">
      <c r="BA446" s="124"/>
    </row>
    <row r="447" spans="53:53" ht="16.5" customHeight="1">
      <c r="BA447" s="124"/>
    </row>
    <row r="448" spans="53:53" ht="16.5" customHeight="1">
      <c r="BA448" s="124"/>
    </row>
    <row r="449" spans="53:53" ht="16.5" customHeight="1">
      <c r="BA449" s="124"/>
    </row>
    <row r="450" spans="53:53" ht="16.5" customHeight="1">
      <c r="BA450" s="124"/>
    </row>
    <row r="451" spans="53:53" ht="16.5" customHeight="1">
      <c r="BA451" s="124"/>
    </row>
    <row r="452" spans="53:53" ht="16.5" customHeight="1">
      <c r="BA452" s="124"/>
    </row>
    <row r="453" spans="53:53" ht="16.5" customHeight="1">
      <c r="BA453" s="124"/>
    </row>
    <row r="454" spans="53:53" ht="16.5" customHeight="1">
      <c r="BA454" s="124"/>
    </row>
    <row r="455" spans="53:53" ht="16.5" customHeight="1">
      <c r="BA455" s="124"/>
    </row>
    <row r="456" spans="53:53" ht="16.5" customHeight="1">
      <c r="BA456" s="124"/>
    </row>
    <row r="457" spans="53:53" ht="16.5" customHeight="1">
      <c r="BA457" s="124"/>
    </row>
    <row r="458" spans="53:53" ht="16.5" customHeight="1">
      <c r="BA458" s="124"/>
    </row>
    <row r="459" spans="53:53" ht="16.5" customHeight="1">
      <c r="BA459" s="124"/>
    </row>
    <row r="460" spans="53:53" ht="16.5" customHeight="1">
      <c r="BA460" s="124"/>
    </row>
    <row r="461" spans="53:53" ht="16.5" customHeight="1">
      <c r="BA461" s="124"/>
    </row>
    <row r="462" spans="53:53" ht="16.5" customHeight="1">
      <c r="BA462" s="124"/>
    </row>
    <row r="463" spans="53:53" ht="16.5" customHeight="1">
      <c r="BA463" s="124"/>
    </row>
    <row r="464" spans="53:53" ht="16.5" customHeight="1">
      <c r="BA464" s="124"/>
    </row>
    <row r="465" spans="53:53" ht="16.5" customHeight="1">
      <c r="BA465" s="124"/>
    </row>
    <row r="466" spans="53:53" ht="16.5" customHeight="1">
      <c r="BA466" s="124"/>
    </row>
    <row r="467" spans="53:53" ht="16.5" customHeight="1">
      <c r="BA467" s="124"/>
    </row>
    <row r="468" spans="53:53" ht="16.5" customHeight="1">
      <c r="BA468" s="124"/>
    </row>
    <row r="469" spans="53:53" ht="16.5" customHeight="1">
      <c r="BA469" s="124"/>
    </row>
    <row r="470" spans="53:53" ht="16.5" customHeight="1">
      <c r="BA470" s="124"/>
    </row>
    <row r="471" spans="53:53" ht="16.5" customHeight="1">
      <c r="BA471" s="124"/>
    </row>
    <row r="472" spans="53:53" ht="16.5" customHeight="1">
      <c r="BA472" s="124"/>
    </row>
    <row r="473" spans="53:53" ht="16.5" customHeight="1">
      <c r="BA473" s="124"/>
    </row>
    <row r="474" spans="53:53" ht="16.5" customHeight="1">
      <c r="BA474" s="124"/>
    </row>
    <row r="475" spans="53:53" ht="16.5" customHeight="1">
      <c r="BA475" s="124"/>
    </row>
    <row r="476" spans="53:53" ht="16.5" customHeight="1">
      <c r="BA476" s="124"/>
    </row>
    <row r="477" spans="53:53" ht="16.5" customHeight="1">
      <c r="BA477" s="124"/>
    </row>
    <row r="478" spans="53:53" ht="16.5" customHeight="1">
      <c r="BA478" s="124"/>
    </row>
    <row r="479" spans="53:53" ht="16.5" customHeight="1">
      <c r="BA479" s="124"/>
    </row>
    <row r="480" spans="53:53" ht="16.5" customHeight="1">
      <c r="BA480" s="124"/>
    </row>
    <row r="481" spans="53:53" ht="16.5" customHeight="1">
      <c r="BA481" s="124"/>
    </row>
    <row r="482" spans="53:53" ht="16.5" customHeight="1">
      <c r="BA482" s="124"/>
    </row>
    <row r="483" spans="53:53" ht="16.5" customHeight="1">
      <c r="BA483" s="124"/>
    </row>
    <row r="484" spans="53:53" ht="16.5" customHeight="1">
      <c r="BA484" s="124"/>
    </row>
    <row r="485" spans="53:53" ht="16.5" customHeight="1">
      <c r="BA485" s="124"/>
    </row>
    <row r="486" spans="53:53" ht="16.5" customHeight="1">
      <c r="BA486" s="124"/>
    </row>
    <row r="487" spans="53:53" ht="16.5" customHeight="1">
      <c r="BA487" s="124"/>
    </row>
    <row r="488" spans="53:53" ht="16.5" customHeight="1">
      <c r="BA488" s="124"/>
    </row>
    <row r="489" spans="53:53" ht="16.5" customHeight="1">
      <c r="BA489" s="124"/>
    </row>
    <row r="490" spans="53:53" ht="16.5" customHeight="1">
      <c r="BA490" s="124"/>
    </row>
    <row r="491" spans="53:53" ht="16.5" customHeight="1">
      <c r="BA491" s="124"/>
    </row>
    <row r="492" spans="53:53" ht="16.5" customHeight="1">
      <c r="BA492" s="124"/>
    </row>
    <row r="493" spans="53:53" ht="16.5" customHeight="1">
      <c r="BA493" s="124"/>
    </row>
    <row r="494" spans="53:53" ht="16.5" customHeight="1">
      <c r="BA494" s="124"/>
    </row>
    <row r="495" spans="53:53" ht="16.5" customHeight="1">
      <c r="BA495" s="124"/>
    </row>
    <row r="496" spans="53:53" ht="16.5" customHeight="1">
      <c r="BA496" s="124"/>
    </row>
    <row r="497" spans="53:53" ht="16.5" customHeight="1">
      <c r="BA497" s="124"/>
    </row>
    <row r="498" spans="53:53" ht="16.5" customHeight="1">
      <c r="BA498" s="124"/>
    </row>
    <row r="499" spans="53:53" ht="16.5" customHeight="1">
      <c r="BA499" s="124"/>
    </row>
    <row r="500" spans="53:53" ht="16.5" customHeight="1">
      <c r="BA500" s="124"/>
    </row>
    <row r="501" spans="53:53" ht="16.5" customHeight="1">
      <c r="BA501" s="124"/>
    </row>
    <row r="502" spans="53:53" ht="16.5" customHeight="1">
      <c r="BA502" s="124"/>
    </row>
    <row r="503" spans="53:53" ht="16.5" customHeight="1">
      <c r="BA503" s="124"/>
    </row>
    <row r="504" spans="53:53" ht="16.5" customHeight="1">
      <c r="BA504" s="124"/>
    </row>
    <row r="505" spans="53:53" ht="16.5" customHeight="1">
      <c r="BA505" s="124"/>
    </row>
    <row r="506" spans="53:53" ht="16.5" customHeight="1">
      <c r="BA506" s="124"/>
    </row>
    <row r="507" spans="53:53" ht="16.5" customHeight="1">
      <c r="BA507" s="124"/>
    </row>
    <row r="508" spans="53:53" ht="16.5" customHeight="1">
      <c r="BA508" s="124"/>
    </row>
    <row r="509" spans="53:53" ht="16.5" customHeight="1">
      <c r="BA509" s="124"/>
    </row>
    <row r="510" spans="53:53" ht="16.5" customHeight="1">
      <c r="BA510" s="124"/>
    </row>
    <row r="511" spans="53:53" ht="16.5" customHeight="1">
      <c r="BA511" s="124"/>
    </row>
    <row r="512" spans="53:53" ht="16.5" customHeight="1">
      <c r="BA512" s="124"/>
    </row>
    <row r="513" spans="53:53" ht="16.5" customHeight="1">
      <c r="BA513" s="124"/>
    </row>
    <row r="514" spans="53:53" ht="16.5" customHeight="1">
      <c r="BA514" s="124"/>
    </row>
    <row r="515" spans="53:53" ht="16.5" customHeight="1">
      <c r="BA515" s="124"/>
    </row>
    <row r="516" spans="53:53" ht="16.5" customHeight="1">
      <c r="BA516" s="124"/>
    </row>
    <row r="517" spans="53:53" ht="16.5" customHeight="1">
      <c r="BA517" s="124"/>
    </row>
    <row r="518" spans="53:53" ht="16.5" customHeight="1">
      <c r="BA518" s="124"/>
    </row>
    <row r="519" spans="53:53" ht="16.5" customHeight="1">
      <c r="BA519" s="124"/>
    </row>
    <row r="520" spans="53:53" ht="16.5" customHeight="1">
      <c r="BA520" s="124"/>
    </row>
    <row r="521" spans="53:53" ht="16.5" customHeight="1">
      <c r="BA521" s="124"/>
    </row>
    <row r="522" spans="53:53" ht="16.5" customHeight="1">
      <c r="BA522" s="124"/>
    </row>
    <row r="523" spans="53:53" ht="16.5" customHeight="1">
      <c r="BA523" s="124"/>
    </row>
    <row r="524" spans="53:53" ht="16.5" customHeight="1">
      <c r="BA524" s="124"/>
    </row>
    <row r="525" spans="53:53" ht="16.5" customHeight="1">
      <c r="BA525" s="124"/>
    </row>
    <row r="526" spans="53:53" ht="16.5" customHeight="1">
      <c r="BA526" s="124"/>
    </row>
    <row r="527" spans="53:53" ht="16.5" customHeight="1">
      <c r="BA527" s="124"/>
    </row>
    <row r="528" spans="53:53" ht="16.5" customHeight="1">
      <c r="BA528" s="124"/>
    </row>
    <row r="529" spans="53:53" ht="16.5" customHeight="1">
      <c r="BA529" s="124"/>
    </row>
    <row r="530" spans="53:53" ht="16.5" customHeight="1">
      <c r="BA530" s="124"/>
    </row>
    <row r="531" spans="53:53" ht="16.5" customHeight="1">
      <c r="BA531" s="124"/>
    </row>
    <row r="532" spans="53:53" ht="16.5" customHeight="1">
      <c r="BA532" s="124"/>
    </row>
    <row r="533" spans="53:53" ht="16.5" customHeight="1">
      <c r="BA533" s="124"/>
    </row>
    <row r="534" spans="53:53" ht="16.5" customHeight="1">
      <c r="BA534" s="124"/>
    </row>
    <row r="535" spans="53:53" ht="16.5" customHeight="1">
      <c r="BA535" s="124"/>
    </row>
    <row r="536" spans="53:53" ht="16.5" customHeight="1">
      <c r="BA536" s="124"/>
    </row>
    <row r="537" spans="53:53" ht="16.5" customHeight="1">
      <c r="BA537" s="124"/>
    </row>
    <row r="538" spans="53:53" ht="16.5" customHeight="1">
      <c r="BA538" s="124"/>
    </row>
    <row r="539" spans="53:53" ht="16.5" customHeight="1">
      <c r="BA539" s="124"/>
    </row>
    <row r="540" spans="53:53" ht="16.5" customHeight="1">
      <c r="BA540" s="124"/>
    </row>
    <row r="541" spans="53:53" ht="16.5" customHeight="1">
      <c r="BA541" s="124"/>
    </row>
    <row r="542" spans="53:53" ht="16.5" customHeight="1">
      <c r="BA542" s="124"/>
    </row>
    <row r="543" spans="53:53" ht="16.5" customHeight="1">
      <c r="BA543" s="124"/>
    </row>
    <row r="544" spans="53:53" ht="16.5" customHeight="1">
      <c r="BA544" s="124"/>
    </row>
    <row r="545" spans="53:53" ht="16.5" customHeight="1">
      <c r="BA545" s="124"/>
    </row>
    <row r="546" spans="53:53" ht="16.5" customHeight="1">
      <c r="BA546" s="124"/>
    </row>
    <row r="547" spans="53:53" ht="16.5" customHeight="1">
      <c r="BA547" s="124"/>
    </row>
    <row r="548" spans="53:53" ht="16.5" customHeight="1">
      <c r="BA548" s="124"/>
    </row>
    <row r="549" spans="53:53" ht="16.5" customHeight="1">
      <c r="BA549" s="124"/>
    </row>
    <row r="550" spans="53:53" ht="16.5" customHeight="1">
      <c r="BA550" s="124"/>
    </row>
    <row r="551" spans="53:53" ht="16.5" customHeight="1">
      <c r="BA551" s="124"/>
    </row>
    <row r="552" spans="53:53" ht="16.5" customHeight="1">
      <c r="BA552" s="124"/>
    </row>
    <row r="553" spans="53:53" ht="16.5" customHeight="1">
      <c r="BA553" s="124"/>
    </row>
    <row r="554" spans="53:53" ht="16.5" customHeight="1">
      <c r="BA554" s="124"/>
    </row>
    <row r="555" spans="53:53" ht="16.5" customHeight="1">
      <c r="BA555" s="124"/>
    </row>
    <row r="556" spans="53:53" ht="16.5" customHeight="1">
      <c r="BA556" s="124"/>
    </row>
    <row r="557" spans="53:53" ht="16.5" customHeight="1">
      <c r="BA557" s="124"/>
    </row>
    <row r="558" spans="53:53" ht="16.5" customHeight="1">
      <c r="BA558" s="124"/>
    </row>
    <row r="559" spans="53:53" ht="16.5" customHeight="1">
      <c r="BA559" s="124"/>
    </row>
    <row r="560" spans="53:53" ht="16.5" customHeight="1">
      <c r="BA560" s="124"/>
    </row>
    <row r="561" spans="53:53" ht="16.5" customHeight="1">
      <c r="BA561" s="124"/>
    </row>
    <row r="562" spans="53:53" ht="16.5" customHeight="1">
      <c r="BA562" s="124"/>
    </row>
    <row r="563" spans="53:53" ht="16.5" customHeight="1">
      <c r="BA563" s="124"/>
    </row>
    <row r="564" spans="53:53" ht="16.5" customHeight="1">
      <c r="BA564" s="124"/>
    </row>
    <row r="565" spans="53:53" ht="16.5" customHeight="1">
      <c r="BA565" s="124"/>
    </row>
    <row r="566" spans="53:53" ht="16.5" customHeight="1">
      <c r="BA566" s="124"/>
    </row>
    <row r="567" spans="53:53" ht="16.5" customHeight="1">
      <c r="BA567" s="124"/>
    </row>
    <row r="568" spans="53:53" ht="16.5" customHeight="1">
      <c r="BA568" s="124"/>
    </row>
    <row r="569" spans="53:53" ht="16.5" customHeight="1">
      <c r="BA569" s="124"/>
    </row>
    <row r="570" spans="53:53" ht="16.5" customHeight="1">
      <c r="BA570" s="124"/>
    </row>
    <row r="571" spans="53:53" ht="16.5" customHeight="1">
      <c r="BA571" s="124"/>
    </row>
    <row r="572" spans="53:53" ht="16.5" customHeight="1">
      <c r="BA572" s="124"/>
    </row>
    <row r="573" spans="53:53" ht="16.5" customHeight="1">
      <c r="BA573" s="124"/>
    </row>
    <row r="574" spans="53:53" ht="16.5" customHeight="1">
      <c r="BA574" s="124"/>
    </row>
    <row r="575" spans="53:53" ht="16.5" customHeight="1">
      <c r="BA575" s="124"/>
    </row>
    <row r="576" spans="53:53" ht="16.5" customHeight="1">
      <c r="BA576" s="124"/>
    </row>
    <row r="577" spans="53:53" ht="16.5" customHeight="1">
      <c r="BA577" s="124"/>
    </row>
    <row r="578" spans="53:53" ht="16.5" customHeight="1">
      <c r="BA578" s="124"/>
    </row>
    <row r="579" spans="53:53" ht="16.5" customHeight="1">
      <c r="BA579" s="124"/>
    </row>
    <row r="580" spans="53:53" ht="16.5" customHeight="1">
      <c r="BA580" s="124"/>
    </row>
    <row r="581" spans="53:53" ht="16.5" customHeight="1">
      <c r="BA581" s="124"/>
    </row>
    <row r="582" spans="53:53" ht="16.5" customHeight="1">
      <c r="BA582" s="124"/>
    </row>
    <row r="583" spans="53:53" ht="16.5" customHeight="1">
      <c r="BA583" s="124"/>
    </row>
    <row r="584" spans="53:53" ht="16.5" customHeight="1">
      <c r="BA584" s="124"/>
    </row>
    <row r="585" spans="53:53" ht="16.5" customHeight="1">
      <c r="BA585" s="124"/>
    </row>
    <row r="586" spans="53:53" ht="16.5" customHeight="1">
      <c r="BA586" s="124"/>
    </row>
    <row r="587" spans="53:53" ht="16.5" customHeight="1">
      <c r="BA587" s="124"/>
    </row>
    <row r="588" spans="53:53" ht="16.5" customHeight="1">
      <c r="BA588" s="124"/>
    </row>
    <row r="589" spans="53:53" ht="16.5" customHeight="1">
      <c r="BA589" s="124"/>
    </row>
    <row r="590" spans="53:53" ht="16.5" customHeight="1">
      <c r="BA590" s="124"/>
    </row>
    <row r="591" spans="53:53" ht="16.5" customHeight="1">
      <c r="BA591" s="124"/>
    </row>
    <row r="592" spans="53:53" ht="16.5" customHeight="1">
      <c r="BA592" s="124"/>
    </row>
    <row r="593" spans="53:53" ht="16.5" customHeight="1">
      <c r="BA593" s="124"/>
    </row>
    <row r="594" spans="53:53" ht="16.5" customHeight="1">
      <c r="BA594" s="124"/>
    </row>
    <row r="595" spans="53:53" ht="16.5" customHeight="1">
      <c r="BA595" s="124"/>
    </row>
    <row r="596" spans="53:53" ht="16.5" customHeight="1">
      <c r="BA596" s="124"/>
    </row>
    <row r="597" spans="53:53" ht="16.5" customHeight="1">
      <c r="BA597" s="124"/>
    </row>
    <row r="598" spans="53:53" ht="16.5" customHeight="1">
      <c r="BA598" s="124"/>
    </row>
    <row r="599" spans="53:53" ht="16.5" customHeight="1">
      <c r="BA599" s="124"/>
    </row>
    <row r="600" spans="53:53" ht="16.5" customHeight="1">
      <c r="BA600" s="124"/>
    </row>
    <row r="601" spans="53:53" ht="16.5" customHeight="1">
      <c r="BA601" s="124"/>
    </row>
    <row r="602" spans="53:53" ht="16.5" customHeight="1">
      <c r="BA602" s="124"/>
    </row>
    <row r="603" spans="53:53" ht="16.5" customHeight="1">
      <c r="BA603" s="124"/>
    </row>
    <row r="604" spans="53:53" ht="16.5" customHeight="1">
      <c r="BA604" s="124"/>
    </row>
    <row r="605" spans="53:53" ht="16.5" customHeight="1">
      <c r="BA605" s="124"/>
    </row>
    <row r="606" spans="53:53" ht="16.5" customHeight="1">
      <c r="BA606" s="124"/>
    </row>
    <row r="607" spans="53:53" ht="16.5" customHeight="1">
      <c r="BA607" s="124"/>
    </row>
    <row r="608" spans="53:53" ht="16.5" customHeight="1">
      <c r="BA608" s="124"/>
    </row>
    <row r="609" spans="53:53" ht="16.5" customHeight="1">
      <c r="BA609" s="124"/>
    </row>
    <row r="610" spans="53:53" ht="16.5" customHeight="1">
      <c r="BA610" s="124"/>
    </row>
    <row r="611" spans="53:53" ht="16.5" customHeight="1">
      <c r="BA611" s="124"/>
    </row>
    <row r="612" spans="53:53" ht="16.5" customHeight="1">
      <c r="BA612" s="124"/>
    </row>
    <row r="613" spans="53:53" ht="16.5" customHeight="1">
      <c r="BA613" s="124"/>
    </row>
    <row r="614" spans="53:53" ht="16.5" customHeight="1">
      <c r="BA614" s="124"/>
    </row>
    <row r="615" spans="53:53" ht="16.5" customHeight="1">
      <c r="BA615" s="124"/>
    </row>
    <row r="616" spans="53:53" ht="16.5" customHeight="1">
      <c r="BA616" s="124"/>
    </row>
    <row r="617" spans="53:53" ht="16.5" customHeight="1">
      <c r="BA617" s="124"/>
    </row>
    <row r="618" spans="53:53" ht="16.5" customHeight="1">
      <c r="BA618" s="124"/>
    </row>
    <row r="619" spans="53:53" ht="16.5" customHeight="1">
      <c r="BA619" s="124"/>
    </row>
    <row r="620" spans="53:53" ht="16.5" customHeight="1">
      <c r="BA620" s="124"/>
    </row>
    <row r="621" spans="53:53" ht="16.5" customHeight="1">
      <c r="BA621" s="124"/>
    </row>
    <row r="622" spans="53:53" ht="16.5" customHeight="1">
      <c r="BA622" s="124"/>
    </row>
    <row r="623" spans="53:53" ht="16.5" customHeight="1">
      <c r="BA623" s="124"/>
    </row>
    <row r="624" spans="53:53" ht="16.5" customHeight="1">
      <c r="BA624" s="124"/>
    </row>
    <row r="625" spans="53:53" ht="16.5" customHeight="1">
      <c r="BA625" s="124"/>
    </row>
    <row r="626" spans="53:53" ht="16.5" customHeight="1">
      <c r="BA626" s="124"/>
    </row>
    <row r="627" spans="53:53" ht="16.5" customHeight="1">
      <c r="BA627" s="124"/>
    </row>
    <row r="628" spans="53:53" ht="16.5" customHeight="1">
      <c r="BA628" s="124"/>
    </row>
    <row r="629" spans="53:53" ht="16.5" customHeight="1">
      <c r="BA629" s="124"/>
    </row>
    <row r="630" spans="53:53" ht="16.5" customHeight="1">
      <c r="BA630" s="124"/>
    </row>
    <row r="631" spans="53:53" ht="16.5" customHeight="1">
      <c r="BA631" s="124"/>
    </row>
    <row r="632" spans="53:53" ht="16.5" customHeight="1">
      <c r="BA632" s="124"/>
    </row>
    <row r="633" spans="53:53" ht="16.5" customHeight="1">
      <c r="BA633" s="124"/>
    </row>
    <row r="634" spans="53:53" ht="16.5" customHeight="1">
      <c r="BA634" s="124"/>
    </row>
    <row r="635" spans="53:53" ht="16.5" customHeight="1">
      <c r="BA635" s="124"/>
    </row>
    <row r="636" spans="53:53" ht="16.5" customHeight="1">
      <c r="BA636" s="124"/>
    </row>
    <row r="637" spans="53:53" ht="16.5" customHeight="1">
      <c r="BA637" s="124"/>
    </row>
    <row r="638" spans="53:53" ht="16.5" customHeight="1">
      <c r="BA638" s="124"/>
    </row>
    <row r="639" spans="53:53" ht="16.5" customHeight="1">
      <c r="BA639" s="124"/>
    </row>
    <row r="640" spans="53:53" ht="16.5" customHeight="1">
      <c r="BA640" s="124"/>
    </row>
    <row r="641" spans="53:53" ht="16.5" customHeight="1">
      <c r="BA641" s="124"/>
    </row>
    <row r="642" spans="53:53" ht="16.5" customHeight="1">
      <c r="BA642" s="124"/>
    </row>
    <row r="643" spans="53:53" ht="16.5" customHeight="1">
      <c r="BA643" s="124"/>
    </row>
    <row r="644" spans="53:53" ht="16.5" customHeight="1">
      <c r="BA644" s="124"/>
    </row>
    <row r="645" spans="53:53" ht="16.5" customHeight="1">
      <c r="BA645" s="124"/>
    </row>
    <row r="646" spans="53:53" ht="16.5" customHeight="1">
      <c r="BA646" s="124"/>
    </row>
    <row r="647" spans="53:53" ht="16.5" customHeight="1">
      <c r="BA647" s="124"/>
    </row>
    <row r="648" spans="53:53" ht="16.5" customHeight="1">
      <c r="BA648" s="124"/>
    </row>
    <row r="649" spans="53:53" ht="16.5" customHeight="1">
      <c r="BA649" s="124"/>
    </row>
    <row r="650" spans="53:53" ht="16.5" customHeight="1">
      <c r="BA650" s="124"/>
    </row>
    <row r="651" spans="53:53" ht="16.5" customHeight="1">
      <c r="BA651" s="124"/>
    </row>
    <row r="652" spans="53:53" ht="16.5" customHeight="1">
      <c r="BA652" s="124"/>
    </row>
    <row r="653" spans="53:53" ht="16.5" customHeight="1">
      <c r="BA653" s="124"/>
    </row>
    <row r="654" spans="53:53" ht="16.5" customHeight="1">
      <c r="BA654" s="124"/>
    </row>
    <row r="655" spans="53:53" ht="16.5" customHeight="1">
      <c r="BA655" s="124"/>
    </row>
    <row r="656" spans="53:53" ht="16.5" customHeight="1">
      <c r="BA656" s="124"/>
    </row>
    <row r="657" spans="53:53" ht="16.5" customHeight="1">
      <c r="BA657" s="124"/>
    </row>
    <row r="658" spans="53:53" ht="16.5" customHeight="1">
      <c r="BA658" s="124"/>
    </row>
    <row r="659" spans="53:53" ht="16.5" customHeight="1">
      <c r="BA659" s="124"/>
    </row>
    <row r="660" spans="53:53" ht="16.5" customHeight="1">
      <c r="BA660" s="124"/>
    </row>
    <row r="661" spans="53:53" ht="16.5" customHeight="1">
      <c r="BA661" s="124"/>
    </row>
    <row r="662" spans="53:53" ht="16.5" customHeight="1">
      <c r="BA662" s="124"/>
    </row>
    <row r="663" spans="53:53" ht="16.5" customHeight="1">
      <c r="BA663" s="124"/>
    </row>
    <row r="664" spans="53:53" ht="16.5" customHeight="1">
      <c r="BA664" s="124"/>
    </row>
    <row r="665" spans="53:53" ht="16.5" customHeight="1">
      <c r="BA665" s="124"/>
    </row>
    <row r="666" spans="53:53" ht="16.5" customHeight="1">
      <c r="BA666" s="124"/>
    </row>
    <row r="667" spans="53:53" ht="16.5" customHeight="1">
      <c r="BA667" s="124"/>
    </row>
    <row r="668" spans="53:53" ht="16.5" customHeight="1">
      <c r="BA668" s="124"/>
    </row>
    <row r="669" spans="53:53" ht="16.5" customHeight="1">
      <c r="BA669" s="124"/>
    </row>
    <row r="670" spans="53:53" ht="16.5" customHeight="1">
      <c r="BA670" s="124"/>
    </row>
    <row r="671" spans="53:53" ht="16.5" customHeight="1">
      <c r="BA671" s="124"/>
    </row>
    <row r="672" spans="53:53" ht="16.5" customHeight="1">
      <c r="BA672" s="124"/>
    </row>
    <row r="673" spans="53:53" ht="16.5" customHeight="1">
      <c r="BA673" s="124"/>
    </row>
    <row r="674" spans="53:53" ht="16.5" customHeight="1">
      <c r="BA674" s="124"/>
    </row>
    <row r="675" spans="53:53" ht="16.5" customHeight="1">
      <c r="BA675" s="124"/>
    </row>
    <row r="676" spans="53:53" ht="16.5" customHeight="1">
      <c r="BA676" s="124"/>
    </row>
    <row r="677" spans="53:53" ht="16.5" customHeight="1">
      <c r="BA677" s="124"/>
    </row>
    <row r="678" spans="53:53" ht="16.5" customHeight="1">
      <c r="BA678" s="124"/>
    </row>
    <row r="679" spans="53:53" ht="16.5" customHeight="1">
      <c r="BA679" s="124"/>
    </row>
    <row r="680" spans="53:53" ht="16.5" customHeight="1">
      <c r="BA680" s="124"/>
    </row>
    <row r="681" spans="53:53" ht="16.5" customHeight="1">
      <c r="BA681" s="124"/>
    </row>
    <row r="682" spans="53:53" ht="16.5" customHeight="1">
      <c r="BA682" s="124"/>
    </row>
    <row r="683" spans="53:53" ht="16.5" customHeight="1">
      <c r="BA683" s="124"/>
    </row>
    <row r="684" spans="53:53" ht="16.5" customHeight="1">
      <c r="BA684" s="124"/>
    </row>
    <row r="685" spans="53:53" ht="16.5" customHeight="1">
      <c r="BA685" s="124"/>
    </row>
    <row r="686" spans="53:53" ht="16.5" customHeight="1">
      <c r="BA686" s="124"/>
    </row>
    <row r="687" spans="53:53" ht="16.5" customHeight="1">
      <c r="BA687" s="124"/>
    </row>
    <row r="688" spans="53:53" ht="16.5" customHeight="1">
      <c r="BA688" s="124"/>
    </row>
    <row r="689" spans="53:53" ht="16.5" customHeight="1">
      <c r="BA689" s="124"/>
    </row>
    <row r="690" spans="53:53" ht="16.5" customHeight="1">
      <c r="BA690" s="124"/>
    </row>
    <row r="691" spans="53:53" ht="16.5" customHeight="1">
      <c r="BA691" s="124"/>
    </row>
    <row r="692" spans="53:53" ht="16.5" customHeight="1">
      <c r="BA692" s="124"/>
    </row>
    <row r="693" spans="53:53" ht="16.5" customHeight="1">
      <c r="BA693" s="124"/>
    </row>
    <row r="694" spans="53:53" ht="16.5" customHeight="1">
      <c r="BA694" s="124"/>
    </row>
    <row r="695" spans="53:53" ht="16.5" customHeight="1">
      <c r="BA695" s="124"/>
    </row>
    <row r="696" spans="53:53" ht="16.5" customHeight="1">
      <c r="BA696" s="124"/>
    </row>
    <row r="697" spans="53:53" ht="16.5" customHeight="1">
      <c r="BA697" s="124"/>
    </row>
    <row r="698" spans="53:53" ht="16.5" customHeight="1">
      <c r="BA698" s="124"/>
    </row>
    <row r="699" spans="53:53" ht="16.5" customHeight="1">
      <c r="BA699" s="124"/>
    </row>
    <row r="700" spans="53:53" ht="16.5" customHeight="1">
      <c r="BA700" s="124"/>
    </row>
    <row r="701" spans="53:53" ht="16.5" customHeight="1">
      <c r="BA701" s="124"/>
    </row>
    <row r="702" spans="53:53" ht="16.5" customHeight="1">
      <c r="BA702" s="124"/>
    </row>
    <row r="703" spans="53:53" ht="16.5" customHeight="1">
      <c r="BA703" s="124"/>
    </row>
    <row r="704" spans="53:53" ht="16.5" customHeight="1">
      <c r="BA704" s="124"/>
    </row>
    <row r="705" spans="53:53" ht="16.5" customHeight="1">
      <c r="BA705" s="124"/>
    </row>
    <row r="706" spans="53:53" ht="16.5" customHeight="1">
      <c r="BA706" s="124"/>
    </row>
    <row r="707" spans="53:53" ht="16.5" customHeight="1">
      <c r="BA707" s="124"/>
    </row>
    <row r="708" spans="53:53" ht="16.5" customHeight="1">
      <c r="BA708" s="124"/>
    </row>
    <row r="709" spans="53:53" ht="16.5" customHeight="1">
      <c r="BA709" s="124"/>
    </row>
    <row r="710" spans="53:53" ht="16.5" customHeight="1">
      <c r="BA710" s="124"/>
    </row>
    <row r="711" spans="53:53" ht="16.5" customHeight="1">
      <c r="BA711" s="124"/>
    </row>
    <row r="712" spans="53:53" ht="16.5" customHeight="1">
      <c r="BA712" s="124"/>
    </row>
    <row r="713" spans="53:53" ht="16.5" customHeight="1">
      <c r="BA713" s="124"/>
    </row>
    <row r="714" spans="53:53" ht="16.5" customHeight="1">
      <c r="BA714" s="124"/>
    </row>
    <row r="715" spans="53:53" ht="16.5" customHeight="1">
      <c r="BA715" s="124"/>
    </row>
    <row r="716" spans="53:53" ht="16.5" customHeight="1">
      <c r="BA716" s="124"/>
    </row>
    <row r="717" spans="53:53" ht="16.5" customHeight="1">
      <c r="BA717" s="124"/>
    </row>
    <row r="718" spans="53:53" ht="16.5" customHeight="1">
      <c r="BA718" s="124"/>
    </row>
    <row r="719" spans="53:53" ht="16.5" customHeight="1">
      <c r="BA719" s="124"/>
    </row>
    <row r="720" spans="53:53" ht="16.5" customHeight="1">
      <c r="BA720" s="124"/>
    </row>
    <row r="721" spans="53:53" ht="16.5" customHeight="1">
      <c r="BA721" s="124"/>
    </row>
    <row r="722" spans="53:53" ht="16.5" customHeight="1">
      <c r="BA722" s="124"/>
    </row>
    <row r="723" spans="53:53" ht="16.5" customHeight="1">
      <c r="BA723" s="124"/>
    </row>
    <row r="724" spans="53:53" ht="16.5" customHeight="1">
      <c r="BA724" s="124"/>
    </row>
    <row r="725" spans="53:53" ht="16.5" customHeight="1">
      <c r="BA725" s="124"/>
    </row>
    <row r="726" spans="53:53" ht="16.5" customHeight="1">
      <c r="BA726" s="124"/>
    </row>
    <row r="727" spans="53:53" ht="16.5" customHeight="1">
      <c r="BA727" s="124"/>
    </row>
    <row r="728" spans="53:53" ht="16.5" customHeight="1">
      <c r="BA728" s="124"/>
    </row>
    <row r="729" spans="53:53" ht="16.5" customHeight="1">
      <c r="BA729" s="124"/>
    </row>
    <row r="730" spans="53:53" ht="16.5" customHeight="1">
      <c r="BA730" s="124"/>
    </row>
    <row r="731" spans="53:53" ht="16.5" customHeight="1">
      <c r="BA731" s="124"/>
    </row>
    <row r="732" spans="53:53" ht="16.5" customHeight="1">
      <c r="BA732" s="124"/>
    </row>
    <row r="733" spans="53:53" ht="16.5" customHeight="1">
      <c r="BA733" s="124"/>
    </row>
    <row r="734" spans="53:53" ht="16.5" customHeight="1">
      <c r="BA734" s="124"/>
    </row>
    <row r="735" spans="53:53" ht="16.5" customHeight="1">
      <c r="BA735" s="124"/>
    </row>
    <row r="736" spans="53:53" ht="16.5" customHeight="1">
      <c r="BA736" s="124"/>
    </row>
    <row r="737" spans="53:53" ht="16.5" customHeight="1">
      <c r="BA737" s="124"/>
    </row>
    <row r="738" spans="53:53" ht="16.5" customHeight="1">
      <c r="BA738" s="124"/>
    </row>
    <row r="739" spans="53:53" ht="16.5" customHeight="1">
      <c r="BA739" s="124"/>
    </row>
    <row r="740" spans="53:53" ht="16.5" customHeight="1">
      <c r="BA740" s="124"/>
    </row>
    <row r="741" spans="53:53" ht="16.5" customHeight="1">
      <c r="BA741" s="124"/>
    </row>
    <row r="742" spans="53:53" ht="16.5" customHeight="1">
      <c r="BA742" s="124"/>
    </row>
    <row r="743" spans="53:53" ht="16.5" customHeight="1">
      <c r="BA743" s="124"/>
    </row>
    <row r="744" spans="53:53" ht="16.5" customHeight="1">
      <c r="BA744" s="124"/>
    </row>
    <row r="745" spans="53:53" ht="16.5" customHeight="1">
      <c r="BA745" s="124"/>
    </row>
    <row r="746" spans="53:53" ht="16.5" customHeight="1">
      <c r="BA746" s="124"/>
    </row>
    <row r="747" spans="53:53" ht="16.5" customHeight="1">
      <c r="BA747" s="124"/>
    </row>
    <row r="748" spans="53:53" ht="16.5" customHeight="1">
      <c r="BA748" s="124"/>
    </row>
    <row r="749" spans="53:53" ht="16.5" customHeight="1">
      <c r="BA749" s="124"/>
    </row>
    <row r="750" spans="53:53" ht="16.5" customHeight="1">
      <c r="BA750" s="124"/>
    </row>
    <row r="751" spans="53:53" ht="16.5" customHeight="1">
      <c r="BA751" s="124"/>
    </row>
    <row r="752" spans="53:53" ht="16.5" customHeight="1">
      <c r="BA752" s="124"/>
    </row>
    <row r="753" spans="53:53" ht="16.5" customHeight="1">
      <c r="BA753" s="124"/>
    </row>
    <row r="754" spans="53:53" ht="16.5" customHeight="1">
      <c r="BA754" s="124"/>
    </row>
    <row r="755" spans="53:53" ht="16.5" customHeight="1">
      <c r="BA755" s="124"/>
    </row>
    <row r="756" spans="53:53" ht="16.5" customHeight="1">
      <c r="BA756" s="124"/>
    </row>
    <row r="757" spans="53:53" ht="16.5" customHeight="1">
      <c r="BA757" s="124"/>
    </row>
    <row r="758" spans="53:53" ht="16.5" customHeight="1">
      <c r="BA758" s="124"/>
    </row>
    <row r="759" spans="53:53" ht="16.5" customHeight="1">
      <c r="BA759" s="124"/>
    </row>
    <row r="760" spans="53:53" ht="16.5" customHeight="1">
      <c r="BA760" s="124"/>
    </row>
    <row r="761" spans="53:53" ht="16.5" customHeight="1">
      <c r="BA761" s="124"/>
    </row>
    <row r="762" spans="53:53" ht="16.5" customHeight="1">
      <c r="BA762" s="124"/>
    </row>
    <row r="763" spans="53:53" ht="16.5" customHeight="1">
      <c r="BA763" s="124"/>
    </row>
    <row r="764" spans="53:53" ht="16.5" customHeight="1">
      <c r="BA764" s="124"/>
    </row>
    <row r="765" spans="53:53" ht="16.5" customHeight="1">
      <c r="BA765" s="124"/>
    </row>
    <row r="766" spans="53:53" ht="16.5" customHeight="1">
      <c r="BA766" s="124"/>
    </row>
    <row r="767" spans="53:53" ht="16.5" customHeight="1">
      <c r="BA767" s="124"/>
    </row>
    <row r="768" spans="53:53" ht="16.5" customHeight="1">
      <c r="BA768" s="124"/>
    </row>
    <row r="769" spans="53:53" ht="16.5" customHeight="1">
      <c r="BA769" s="124"/>
    </row>
    <row r="770" spans="53:53" ht="16.5" customHeight="1">
      <c r="BA770" s="124"/>
    </row>
    <row r="771" spans="53:53" ht="16.5" customHeight="1">
      <c r="BA771" s="124"/>
    </row>
    <row r="772" spans="53:53" ht="16.5" customHeight="1">
      <c r="BA772" s="124"/>
    </row>
    <row r="773" spans="53:53" ht="16.5" customHeight="1">
      <c r="BA773" s="124"/>
    </row>
    <row r="774" spans="53:53" ht="16.5" customHeight="1">
      <c r="BA774" s="124"/>
    </row>
    <row r="775" spans="53:53" ht="16.5" customHeight="1">
      <c r="BA775" s="124"/>
    </row>
    <row r="776" spans="53:53" ht="16.5" customHeight="1">
      <c r="BA776" s="124"/>
    </row>
    <row r="777" spans="53:53" ht="16.5" customHeight="1">
      <c r="BA777" s="124"/>
    </row>
    <row r="778" spans="53:53" ht="16.5" customHeight="1">
      <c r="BA778" s="124"/>
    </row>
    <row r="779" spans="53:53" ht="16.5" customHeight="1">
      <c r="BA779" s="124"/>
    </row>
    <row r="780" spans="53:53" ht="16.5" customHeight="1">
      <c r="BA780" s="124"/>
    </row>
    <row r="781" spans="53:53" ht="16.5" customHeight="1">
      <c r="BA781" s="124"/>
    </row>
    <row r="782" spans="53:53" ht="16.5" customHeight="1">
      <c r="BA782" s="124"/>
    </row>
    <row r="783" spans="53:53" ht="16.5" customHeight="1">
      <c r="BA783" s="124"/>
    </row>
    <row r="784" spans="53:53" ht="16.5" customHeight="1">
      <c r="BA784" s="124"/>
    </row>
    <row r="785" spans="53:53" ht="16.5" customHeight="1">
      <c r="BA785" s="124"/>
    </row>
    <row r="786" spans="53:53" ht="16.5" customHeight="1">
      <c r="BA786" s="124"/>
    </row>
    <row r="787" spans="53:53" ht="16.5" customHeight="1">
      <c r="BA787" s="124"/>
    </row>
    <row r="788" spans="53:53" ht="16.5" customHeight="1">
      <c r="BA788" s="124"/>
    </row>
    <row r="789" spans="53:53" ht="16.5" customHeight="1">
      <c r="BA789" s="124"/>
    </row>
    <row r="790" spans="53:53" ht="16.5" customHeight="1">
      <c r="BA790" s="124"/>
    </row>
    <row r="791" spans="53:53" ht="16.5" customHeight="1">
      <c r="BA791" s="124"/>
    </row>
    <row r="792" spans="53:53" ht="16.5" customHeight="1">
      <c r="BA792" s="124"/>
    </row>
    <row r="793" spans="53:53" ht="16.5" customHeight="1">
      <c r="BA793" s="124"/>
    </row>
    <row r="794" spans="53:53" ht="16.5" customHeight="1">
      <c r="BA794" s="124"/>
    </row>
    <row r="795" spans="53:53" ht="16.5" customHeight="1">
      <c r="BA795" s="124"/>
    </row>
    <row r="796" spans="53:53" ht="16.5" customHeight="1">
      <c r="BA796" s="124"/>
    </row>
    <row r="797" spans="53:53" ht="16.5" customHeight="1">
      <c r="BA797" s="124"/>
    </row>
    <row r="798" spans="53:53" ht="16.5" customHeight="1">
      <c r="BA798" s="124"/>
    </row>
    <row r="799" spans="53:53" ht="16.5" customHeight="1">
      <c r="BA799" s="124"/>
    </row>
    <row r="800" spans="53:53" ht="16.5" customHeight="1">
      <c r="BA800" s="124"/>
    </row>
    <row r="801" spans="53:53" ht="16.5" customHeight="1">
      <c r="BA801" s="124"/>
    </row>
    <row r="802" spans="53:53" ht="16.5" customHeight="1">
      <c r="BA802" s="124"/>
    </row>
    <row r="803" spans="53:53" ht="16.5" customHeight="1">
      <c r="BA803" s="124"/>
    </row>
    <row r="804" spans="53:53" ht="16.5" customHeight="1">
      <c r="BA804" s="124"/>
    </row>
    <row r="805" spans="53:53" ht="16.5" customHeight="1">
      <c r="BA805" s="124"/>
    </row>
    <row r="806" spans="53:53" ht="16.5" customHeight="1">
      <c r="BA806" s="124"/>
    </row>
    <row r="807" spans="53:53" ht="16.5" customHeight="1">
      <c r="BA807" s="124"/>
    </row>
    <row r="808" spans="53:53" ht="16.5" customHeight="1">
      <c r="BA808" s="124"/>
    </row>
    <row r="809" spans="53:53" ht="16.5" customHeight="1">
      <c r="BA809" s="124"/>
    </row>
    <row r="810" spans="53:53" ht="16.5" customHeight="1">
      <c r="BA810" s="124"/>
    </row>
    <row r="811" spans="53:53" ht="16.5" customHeight="1">
      <c r="BA811" s="124"/>
    </row>
    <row r="812" spans="53:53" ht="16.5" customHeight="1">
      <c r="BA812" s="124"/>
    </row>
    <row r="813" spans="53:53" ht="16.5" customHeight="1">
      <c r="BA813" s="124"/>
    </row>
    <row r="814" spans="53:53" ht="16.5" customHeight="1">
      <c r="BA814" s="124"/>
    </row>
    <row r="815" spans="53:53" ht="16.5" customHeight="1">
      <c r="BA815" s="124"/>
    </row>
    <row r="816" spans="53:53" ht="16.5" customHeight="1">
      <c r="BA816" s="124"/>
    </row>
    <row r="817" spans="53:53" ht="16.5" customHeight="1">
      <c r="BA817" s="124"/>
    </row>
    <row r="818" spans="53:53" ht="16.5" customHeight="1">
      <c r="BA818" s="124"/>
    </row>
    <row r="819" spans="53:53" ht="16.5" customHeight="1">
      <c r="BA819" s="124"/>
    </row>
    <row r="820" spans="53:53" ht="16.5" customHeight="1">
      <c r="BA820" s="124"/>
    </row>
    <row r="821" spans="53:53" ht="16.5" customHeight="1">
      <c r="BA821" s="124"/>
    </row>
    <row r="822" spans="53:53" ht="16.5" customHeight="1">
      <c r="BA822" s="124"/>
    </row>
    <row r="823" spans="53:53" ht="16.5" customHeight="1">
      <c r="BA823" s="124"/>
    </row>
    <row r="824" spans="53:53" ht="16.5" customHeight="1">
      <c r="BA824" s="124"/>
    </row>
    <row r="825" spans="53:53" ht="16.5" customHeight="1">
      <c r="BA825" s="124"/>
    </row>
    <row r="826" spans="53:53" ht="16.5" customHeight="1">
      <c r="BA826" s="124"/>
    </row>
    <row r="827" spans="53:53" ht="16.5" customHeight="1">
      <c r="BA827" s="124"/>
    </row>
    <row r="828" spans="53:53" ht="16.5" customHeight="1">
      <c r="BA828" s="124"/>
    </row>
    <row r="829" spans="53:53" ht="16.5" customHeight="1">
      <c r="BA829" s="124"/>
    </row>
    <row r="830" spans="53:53" ht="16.5" customHeight="1">
      <c r="BA830" s="124"/>
    </row>
    <row r="831" spans="53:53" ht="16.5" customHeight="1">
      <c r="BA831" s="124"/>
    </row>
    <row r="832" spans="53:53" ht="16.5" customHeight="1">
      <c r="BA832" s="124"/>
    </row>
    <row r="833" spans="53:53" ht="16.5" customHeight="1">
      <c r="BA833" s="124"/>
    </row>
    <row r="834" spans="53:53" ht="16.5" customHeight="1">
      <c r="BA834" s="124"/>
    </row>
    <row r="835" spans="53:53" ht="16.5" customHeight="1">
      <c r="BA835" s="124"/>
    </row>
    <row r="836" spans="53:53" ht="16.5" customHeight="1">
      <c r="BA836" s="124"/>
    </row>
    <row r="837" spans="53:53" ht="16.5" customHeight="1">
      <c r="BA837" s="124"/>
    </row>
    <row r="838" spans="53:53" ht="16.5" customHeight="1">
      <c r="BA838" s="124"/>
    </row>
    <row r="839" spans="53:53" ht="16.5" customHeight="1">
      <c r="BA839" s="124"/>
    </row>
    <row r="840" spans="53:53" ht="16.5" customHeight="1">
      <c r="BA840" s="124"/>
    </row>
    <row r="841" spans="53:53" ht="16.5" customHeight="1">
      <c r="BA841" s="124"/>
    </row>
    <row r="842" spans="53:53" ht="16.5" customHeight="1">
      <c r="BA842" s="124"/>
    </row>
    <row r="843" spans="53:53" ht="16.5" customHeight="1">
      <c r="BA843" s="124"/>
    </row>
    <row r="844" spans="53:53" ht="16.5" customHeight="1">
      <c r="BA844" s="124"/>
    </row>
    <row r="845" spans="53:53" ht="16.5" customHeight="1">
      <c r="BA845" s="124"/>
    </row>
    <row r="846" spans="53:53" ht="16.5" customHeight="1">
      <c r="BA846" s="124"/>
    </row>
    <row r="847" spans="53:53" ht="16.5" customHeight="1">
      <c r="BA847" s="124"/>
    </row>
    <row r="848" spans="53:53" ht="16.5" customHeight="1">
      <c r="BA848" s="124"/>
    </row>
    <row r="849" spans="53:53" ht="16.5" customHeight="1">
      <c r="BA849" s="124"/>
    </row>
    <row r="850" spans="53:53" ht="16.5" customHeight="1">
      <c r="BA850" s="124"/>
    </row>
    <row r="851" spans="53:53" ht="16.5" customHeight="1">
      <c r="BA851" s="124"/>
    </row>
    <row r="852" spans="53:53" ht="16.5" customHeight="1">
      <c r="BA852" s="124"/>
    </row>
    <row r="853" spans="53:53" ht="16.5" customHeight="1">
      <c r="BA853" s="124"/>
    </row>
    <row r="854" spans="53:53" ht="16.5" customHeight="1">
      <c r="BA854" s="124"/>
    </row>
    <row r="855" spans="53:53" ht="16.5" customHeight="1">
      <c r="BA855" s="124"/>
    </row>
    <row r="856" spans="53:53" ht="16.5" customHeight="1">
      <c r="BA856" s="124"/>
    </row>
    <row r="857" spans="53:53" ht="16.5" customHeight="1">
      <c r="BA857" s="124"/>
    </row>
    <row r="858" spans="53:53" ht="16.5" customHeight="1">
      <c r="BA858" s="124"/>
    </row>
    <row r="859" spans="53:53" ht="16.5" customHeight="1">
      <c r="BA859" s="124"/>
    </row>
    <row r="860" spans="53:53" ht="16.5" customHeight="1">
      <c r="BA860" s="124"/>
    </row>
    <row r="861" spans="53:53" ht="16.5" customHeight="1">
      <c r="BA861" s="124"/>
    </row>
    <row r="862" spans="53:53" ht="16.5" customHeight="1">
      <c r="BA862" s="124"/>
    </row>
    <row r="863" spans="53:53" ht="16.5" customHeight="1">
      <c r="BA863" s="124"/>
    </row>
    <row r="864" spans="53:53" ht="16.5" customHeight="1">
      <c r="BA864" s="124"/>
    </row>
    <row r="865" spans="53:53" ht="16.5" customHeight="1">
      <c r="BA865" s="124"/>
    </row>
    <row r="866" spans="53:53" ht="16.5" customHeight="1">
      <c r="BA866" s="124"/>
    </row>
    <row r="867" spans="53:53" ht="16.5" customHeight="1">
      <c r="BA867" s="124"/>
    </row>
    <row r="868" spans="53:53" ht="16.5" customHeight="1">
      <c r="BA868" s="124"/>
    </row>
    <row r="869" spans="53:53" ht="16.5" customHeight="1">
      <c r="BA869" s="124"/>
    </row>
    <row r="870" spans="53:53" ht="16.5" customHeight="1">
      <c r="BA870" s="124"/>
    </row>
    <row r="871" spans="53:53" ht="16.5" customHeight="1">
      <c r="BA871" s="124"/>
    </row>
    <row r="872" spans="53:53" ht="16.5" customHeight="1">
      <c r="BA872" s="124"/>
    </row>
    <row r="873" spans="53:53" ht="16.5" customHeight="1">
      <c r="BA873" s="124"/>
    </row>
    <row r="874" spans="53:53" ht="16.5" customHeight="1">
      <c r="BA874" s="124"/>
    </row>
    <row r="875" spans="53:53" ht="16.5" customHeight="1">
      <c r="BA875" s="124"/>
    </row>
    <row r="876" spans="53:53" ht="16.5" customHeight="1">
      <c r="BA876" s="124"/>
    </row>
    <row r="877" spans="53:53" ht="16.5" customHeight="1">
      <c r="BA877" s="124"/>
    </row>
    <row r="878" spans="53:53" ht="16.5" customHeight="1">
      <c r="BA878" s="124"/>
    </row>
    <row r="879" spans="53:53" ht="16.5" customHeight="1">
      <c r="BA879" s="124"/>
    </row>
    <row r="880" spans="53:53" ht="16.5" customHeight="1">
      <c r="BA880" s="124"/>
    </row>
    <row r="881" spans="53:53" ht="16.5" customHeight="1">
      <c r="BA881" s="124"/>
    </row>
    <row r="882" spans="53:53" ht="16.5" customHeight="1">
      <c r="BA882" s="124"/>
    </row>
    <row r="883" spans="53:53" ht="16.5" customHeight="1">
      <c r="BA883" s="124"/>
    </row>
    <row r="884" spans="53:53" ht="16.5" customHeight="1">
      <c r="BA884" s="124"/>
    </row>
    <row r="885" spans="53:53" ht="16.5" customHeight="1">
      <c r="BA885" s="124"/>
    </row>
    <row r="886" spans="53:53" ht="16.5" customHeight="1">
      <c r="BA886" s="124"/>
    </row>
    <row r="887" spans="53:53" ht="16.5" customHeight="1">
      <c r="BA887" s="124"/>
    </row>
    <row r="888" spans="53:53" ht="16.5" customHeight="1">
      <c r="BA888" s="124"/>
    </row>
    <row r="889" spans="53:53" ht="16.5" customHeight="1">
      <c r="BA889" s="124"/>
    </row>
    <row r="890" spans="53:53" ht="16.5" customHeight="1">
      <c r="BA890" s="124"/>
    </row>
    <row r="891" spans="53:53" ht="16.5" customHeight="1">
      <c r="BA891" s="124"/>
    </row>
    <row r="892" spans="53:53" ht="16.5" customHeight="1">
      <c r="BA892" s="124"/>
    </row>
    <row r="893" spans="53:53" ht="16.5" customHeight="1">
      <c r="BA893" s="124"/>
    </row>
    <row r="894" spans="53:53" ht="16.5" customHeight="1">
      <c r="BA894" s="124"/>
    </row>
    <row r="895" spans="53:53" ht="16.5" customHeight="1">
      <c r="BA895" s="124"/>
    </row>
    <row r="896" spans="53:53" ht="16.5" customHeight="1">
      <c r="BA896" s="124"/>
    </row>
    <row r="897" spans="53:53" ht="16.5" customHeight="1">
      <c r="BA897" s="124"/>
    </row>
    <row r="898" spans="53:53" ht="16.5" customHeight="1">
      <c r="BA898" s="124"/>
    </row>
    <row r="899" spans="53:53" ht="16.5" customHeight="1">
      <c r="BA899" s="124"/>
    </row>
    <row r="900" spans="53:53" ht="16.5" customHeight="1">
      <c r="BA900" s="124"/>
    </row>
    <row r="901" spans="53:53" ht="16.5" customHeight="1">
      <c r="BA901" s="124"/>
    </row>
    <row r="902" spans="53:53" ht="16.5" customHeight="1">
      <c r="BA902" s="124"/>
    </row>
    <row r="903" spans="53:53" ht="16.5" customHeight="1">
      <c r="BA903" s="124"/>
    </row>
    <row r="904" spans="53:53" ht="16.5" customHeight="1">
      <c r="BA904" s="124"/>
    </row>
    <row r="905" spans="53:53" ht="16.5" customHeight="1">
      <c r="BA905" s="124"/>
    </row>
    <row r="906" spans="53:53" ht="16.5" customHeight="1">
      <c r="BA906" s="124"/>
    </row>
    <row r="907" spans="53:53" ht="16.5" customHeight="1">
      <c r="BA907" s="124"/>
    </row>
    <row r="908" spans="53:53" ht="16.5" customHeight="1">
      <c r="BA908" s="124"/>
    </row>
    <row r="909" spans="53:53" ht="16.5" customHeight="1">
      <c r="BA909" s="124"/>
    </row>
    <row r="910" spans="53:53" ht="16.5" customHeight="1">
      <c r="BA910" s="124"/>
    </row>
    <row r="911" spans="53:53" ht="16.5" customHeight="1">
      <c r="BA911" s="124"/>
    </row>
    <row r="912" spans="53:53" ht="16.5" customHeight="1">
      <c r="BA912" s="124"/>
    </row>
    <row r="913" spans="53:53" ht="16.5" customHeight="1">
      <c r="BA913" s="124"/>
    </row>
    <row r="914" spans="53:53" ht="16.5" customHeight="1">
      <c r="BA914" s="124"/>
    </row>
    <row r="915" spans="53:53" ht="16.5" customHeight="1">
      <c r="BA915" s="124"/>
    </row>
    <row r="916" spans="53:53" ht="16.5" customHeight="1">
      <c r="BA916" s="124"/>
    </row>
    <row r="917" spans="53:53" ht="16.5" customHeight="1">
      <c r="BA917" s="124"/>
    </row>
    <row r="918" spans="53:53" ht="16.5" customHeight="1">
      <c r="BA918" s="124"/>
    </row>
    <row r="919" spans="53:53" ht="16.5" customHeight="1">
      <c r="BA919" s="124"/>
    </row>
    <row r="920" spans="53:53" ht="16.5" customHeight="1">
      <c r="BA920" s="124"/>
    </row>
    <row r="921" spans="53:53" ht="16.5" customHeight="1">
      <c r="BA921" s="124"/>
    </row>
    <row r="922" spans="53:53" ht="16.5" customHeight="1">
      <c r="BA922" s="124"/>
    </row>
    <row r="923" spans="53:53" ht="16.5" customHeight="1">
      <c r="BA923" s="124"/>
    </row>
    <row r="924" spans="53:53" ht="16.5" customHeight="1">
      <c r="BA924" s="124"/>
    </row>
    <row r="925" spans="53:53" ht="16.5" customHeight="1">
      <c r="BA925" s="124"/>
    </row>
    <row r="926" spans="53:53" ht="16.5" customHeight="1">
      <c r="BA926" s="124"/>
    </row>
    <row r="927" spans="53:53" ht="16.5" customHeight="1">
      <c r="BA927" s="124"/>
    </row>
    <row r="928" spans="53:53" ht="16.5" customHeight="1">
      <c r="BA928" s="124"/>
    </row>
    <row r="929" spans="53:53" ht="16.5" customHeight="1">
      <c r="BA929" s="124"/>
    </row>
    <row r="930" spans="53:53" ht="16.5" customHeight="1">
      <c r="BA930" s="124"/>
    </row>
    <row r="931" spans="53:53" ht="16.5" customHeight="1">
      <c r="BA931" s="124"/>
    </row>
    <row r="932" spans="53:53" ht="16.5" customHeight="1">
      <c r="BA932" s="124"/>
    </row>
    <row r="933" spans="53:53" ht="16.5" customHeight="1">
      <c r="BA933" s="124"/>
    </row>
    <row r="934" spans="53:53" ht="16.5" customHeight="1">
      <c r="BA934" s="124"/>
    </row>
    <row r="935" spans="53:53" ht="16.5" customHeight="1">
      <c r="BA935" s="124"/>
    </row>
    <row r="936" spans="53:53" ht="16.5" customHeight="1">
      <c r="BA936" s="124"/>
    </row>
    <row r="937" spans="53:53" ht="16.5" customHeight="1">
      <c r="BA937" s="124"/>
    </row>
    <row r="938" spans="53:53" ht="16.5" customHeight="1">
      <c r="BA938" s="124"/>
    </row>
    <row r="939" spans="53:53" ht="16.5" customHeight="1">
      <c r="BA939" s="124"/>
    </row>
    <row r="940" spans="53:53" ht="16.5" customHeight="1">
      <c r="BA940" s="124"/>
    </row>
    <row r="941" spans="53:53" ht="16.5" customHeight="1">
      <c r="BA941" s="124"/>
    </row>
    <row r="942" spans="53:53" ht="16.5" customHeight="1">
      <c r="BA942" s="124"/>
    </row>
    <row r="943" spans="53:53" ht="16.5" customHeight="1">
      <c r="BA943" s="124"/>
    </row>
    <row r="944" spans="53:53" ht="16.5" customHeight="1">
      <c r="BA944" s="124"/>
    </row>
    <row r="945" spans="53:53" ht="16.5" customHeight="1">
      <c r="BA945" s="124"/>
    </row>
    <row r="946" spans="53:53" ht="16.5" customHeight="1">
      <c r="BA946" s="124"/>
    </row>
    <row r="947" spans="53:53" ht="16.5" customHeight="1">
      <c r="BA947" s="124"/>
    </row>
    <row r="948" spans="53:53" ht="16.5" customHeight="1">
      <c r="BA948" s="124"/>
    </row>
    <row r="949" spans="53:53" ht="16.5" customHeight="1">
      <c r="BA949" s="124"/>
    </row>
    <row r="950" spans="53:53" ht="16.5" customHeight="1">
      <c r="BA950" s="124"/>
    </row>
    <row r="951" spans="53:53" ht="16.5" customHeight="1">
      <c r="BA951" s="124"/>
    </row>
    <row r="952" spans="53:53" ht="16.5" customHeight="1">
      <c r="BA952" s="124"/>
    </row>
    <row r="953" spans="53:53" ht="16.5" customHeight="1">
      <c r="BA953" s="124"/>
    </row>
    <row r="954" spans="53:53" ht="16.5" customHeight="1">
      <c r="BA954" s="124"/>
    </row>
    <row r="955" spans="53:53" ht="16.5" customHeight="1">
      <c r="BA955" s="124"/>
    </row>
    <row r="956" spans="53:53" ht="16.5" customHeight="1">
      <c r="BA956" s="124"/>
    </row>
    <row r="957" spans="53:53" ht="16.5" customHeight="1">
      <c r="BA957" s="124"/>
    </row>
    <row r="958" spans="53:53" ht="16.5" customHeight="1">
      <c r="BA958" s="124"/>
    </row>
    <row r="959" spans="53:53" ht="16.5" customHeight="1">
      <c r="BA959" s="124"/>
    </row>
    <row r="960" spans="53:53" ht="16.5" customHeight="1">
      <c r="BA960" s="124"/>
    </row>
    <row r="961" spans="53:53" ht="16.5" customHeight="1">
      <c r="BA961" s="124"/>
    </row>
    <row r="962" spans="53:53" ht="16.5" customHeight="1">
      <c r="BA962" s="124"/>
    </row>
    <row r="963" spans="53:53" ht="16.5" customHeight="1">
      <c r="BA963" s="124"/>
    </row>
    <row r="964" spans="53:53" ht="16.5" customHeight="1">
      <c r="BA964" s="124"/>
    </row>
    <row r="965" spans="53:53" ht="16.5" customHeight="1">
      <c r="BA965" s="124"/>
    </row>
    <row r="966" spans="53:53" ht="16.5" customHeight="1">
      <c r="BA966" s="124"/>
    </row>
    <row r="967" spans="53:53" ht="16.5" customHeight="1">
      <c r="BA967" s="124"/>
    </row>
    <row r="968" spans="53:53" ht="16.5" customHeight="1">
      <c r="BA968" s="124"/>
    </row>
    <row r="969" spans="53:53" ht="16.5" customHeight="1">
      <c r="BA969" s="124"/>
    </row>
    <row r="970" spans="53:53" ht="16.5" customHeight="1">
      <c r="BA970" s="124"/>
    </row>
    <row r="971" spans="53:53" ht="16.5" customHeight="1">
      <c r="BA971" s="124"/>
    </row>
    <row r="972" spans="53:53" ht="16.5" customHeight="1">
      <c r="BA972" s="124"/>
    </row>
    <row r="973" spans="53:53" ht="16.5" customHeight="1">
      <c r="BA973" s="124"/>
    </row>
    <row r="974" spans="53:53" ht="16.5" customHeight="1">
      <c r="BA974" s="124"/>
    </row>
    <row r="975" spans="53:53" ht="16.5" customHeight="1">
      <c r="BA975" s="124"/>
    </row>
    <row r="976" spans="53:53" ht="16.5" customHeight="1">
      <c r="BA976" s="124"/>
    </row>
    <row r="977" spans="53:53" ht="16.5" customHeight="1">
      <c r="BA977" s="124"/>
    </row>
    <row r="978" spans="53:53" ht="16.5" customHeight="1">
      <c r="BA978" s="124"/>
    </row>
    <row r="979" spans="53:53" ht="16.5" customHeight="1">
      <c r="BA979" s="124"/>
    </row>
    <row r="980" spans="53:53" ht="16.5" customHeight="1">
      <c r="BA980" s="124"/>
    </row>
    <row r="981" spans="53:53" ht="16.5" customHeight="1">
      <c r="BA981" s="124"/>
    </row>
    <row r="982" spans="53:53" ht="16.5" customHeight="1">
      <c r="BA982" s="124"/>
    </row>
    <row r="983" spans="53:53" ht="16.5" customHeight="1">
      <c r="BA983" s="124"/>
    </row>
    <row r="984" spans="53:53" ht="16.5" customHeight="1">
      <c r="BA984" s="124"/>
    </row>
    <row r="985" spans="53:53" ht="16.5" customHeight="1">
      <c r="BA985" s="124"/>
    </row>
    <row r="986" spans="53:53" ht="16.5" customHeight="1">
      <c r="BA986" s="124"/>
    </row>
    <row r="987" spans="53:53" ht="16.5" customHeight="1">
      <c r="BA987" s="124"/>
    </row>
    <row r="988" spans="53:53" ht="16.5" customHeight="1">
      <c r="BA988" s="124"/>
    </row>
    <row r="989" spans="53:53" ht="16.5" customHeight="1">
      <c r="BA989" s="124"/>
    </row>
    <row r="990" spans="53:53" ht="16.5" customHeight="1">
      <c r="BA990" s="124"/>
    </row>
    <row r="991" spans="53:53" ht="16.5" customHeight="1">
      <c r="BA991" s="124"/>
    </row>
    <row r="992" spans="53:53" ht="16.5" customHeight="1">
      <c r="BA992" s="124"/>
    </row>
    <row r="993" spans="53:53" ht="16.5" customHeight="1">
      <c r="BA993" s="124"/>
    </row>
    <row r="994" spans="53:53" ht="16.5" customHeight="1">
      <c r="BA994" s="124"/>
    </row>
    <row r="995" spans="53:53" ht="16.5" customHeight="1">
      <c r="BA995" s="124"/>
    </row>
    <row r="996" spans="53:53" ht="16.5" customHeight="1">
      <c r="BA996" s="124"/>
    </row>
    <row r="997" spans="53:53" ht="16.5" customHeight="1">
      <c r="BA997" s="124"/>
    </row>
    <row r="998" spans="53:53" ht="16.5" customHeight="1">
      <c r="BA998" s="124"/>
    </row>
    <row r="999" spans="53:53" ht="16.5" customHeight="1">
      <c r="BA999" s="124"/>
    </row>
    <row r="1000" spans="53:53" ht="16.5" customHeight="1">
      <c r="BA1000" s="124"/>
    </row>
    <row r="1001" spans="53:53" ht="16.5" customHeight="1">
      <c r="BA1001" s="124"/>
    </row>
    <row r="1002" spans="53:53" ht="16.5" customHeight="1">
      <c r="BA1002" s="124"/>
    </row>
    <row r="1003" spans="53:53" ht="16.5" customHeight="1">
      <c r="BA1003" s="124"/>
    </row>
    <row r="1004" spans="53:53" ht="16.5" customHeight="1">
      <c r="BA1004" s="124"/>
    </row>
    <row r="1005" spans="53:53" ht="16.5" customHeight="1">
      <c r="BA1005" s="124"/>
    </row>
    <row r="1006" spans="53:53" ht="16.5" customHeight="1">
      <c r="BA1006" s="124"/>
    </row>
    <row r="1007" spans="53:53" ht="16.5" customHeight="1">
      <c r="BA1007" s="124"/>
    </row>
    <row r="1008" spans="53:53" ht="16.5" customHeight="1">
      <c r="BA1008" s="124"/>
    </row>
    <row r="1009" spans="53:53" ht="16.5" customHeight="1">
      <c r="BA1009" s="124"/>
    </row>
    <row r="1010" spans="53:53" ht="16.5" customHeight="1">
      <c r="BA1010" s="124"/>
    </row>
    <row r="1011" spans="53:53" ht="16.5" customHeight="1">
      <c r="BA1011" s="124"/>
    </row>
    <row r="1012" spans="53:53" ht="16.5" customHeight="1">
      <c r="BA1012" s="124"/>
    </row>
    <row r="1013" spans="53:53" ht="16.5" customHeight="1">
      <c r="BA1013" s="124"/>
    </row>
    <row r="1014" spans="53:53" ht="16.5" customHeight="1">
      <c r="BA1014" s="124"/>
    </row>
    <row r="1015" spans="53:53" ht="16.5" customHeight="1">
      <c r="BA1015" s="124"/>
    </row>
    <row r="1016" spans="53:53" ht="16.5" customHeight="1">
      <c r="BA1016" s="124"/>
    </row>
    <row r="1017" spans="53:53" ht="16.5" customHeight="1">
      <c r="BA1017" s="124"/>
    </row>
    <row r="1018" spans="53:53" ht="16.5" customHeight="1">
      <c r="BA1018" s="124"/>
    </row>
    <row r="1019" spans="53:53" ht="16.5" customHeight="1">
      <c r="BA1019" s="124"/>
    </row>
    <row r="1020" spans="53:53" ht="16.5" customHeight="1">
      <c r="BA1020" s="124"/>
    </row>
    <row r="1021" spans="53:53" ht="16.5" customHeight="1">
      <c r="BA1021" s="124"/>
    </row>
    <row r="1022" spans="53:53" ht="16.5" customHeight="1">
      <c r="BA1022" s="124"/>
    </row>
    <row r="1023" spans="53:53" ht="16.5" customHeight="1">
      <c r="BA1023" s="124"/>
    </row>
    <row r="1024" spans="53:53" ht="16.5" customHeight="1">
      <c r="BA1024" s="124"/>
    </row>
    <row r="1025" spans="53:53" ht="16.5" customHeight="1">
      <c r="BA1025" s="124"/>
    </row>
    <row r="1026" spans="53:53" ht="16.5" customHeight="1">
      <c r="BA1026" s="124"/>
    </row>
    <row r="1027" spans="53:53" ht="16.5" customHeight="1">
      <c r="BA1027" s="124"/>
    </row>
    <row r="1028" spans="53:53" ht="16.5" customHeight="1">
      <c r="BA1028" s="124"/>
    </row>
    <row r="1029" spans="53:53" ht="16.5" customHeight="1">
      <c r="BA1029" s="124"/>
    </row>
    <row r="1030" spans="53:53" ht="16.5" customHeight="1">
      <c r="BA1030" s="124"/>
    </row>
    <row r="1031" spans="53:53" ht="16.5" customHeight="1">
      <c r="BA1031" s="124"/>
    </row>
    <row r="1032" spans="53:53" ht="16.5" customHeight="1">
      <c r="BA1032" s="124"/>
    </row>
    <row r="1033" spans="53:53" ht="16.5" customHeight="1">
      <c r="BA1033" s="124"/>
    </row>
    <row r="1034" spans="53:53" ht="16.5" customHeight="1">
      <c r="BA1034" s="124"/>
    </row>
    <row r="1035" spans="53:53" ht="16.5" customHeight="1">
      <c r="BA1035" s="124"/>
    </row>
    <row r="1036" spans="53:53" ht="16.5" customHeight="1">
      <c r="BA1036" s="124"/>
    </row>
    <row r="1037" spans="53:53" ht="16.5" customHeight="1">
      <c r="BA1037" s="124"/>
    </row>
    <row r="1038" spans="53:53" ht="16.5" customHeight="1">
      <c r="BA1038" s="124"/>
    </row>
    <row r="1039" spans="53:53" ht="16.5" customHeight="1">
      <c r="BA1039" s="124"/>
    </row>
    <row r="1040" spans="53:53" ht="16.5" customHeight="1">
      <c r="BA1040" s="124"/>
    </row>
    <row r="1041" spans="53:53" ht="16.5" customHeight="1">
      <c r="BA1041" s="124"/>
    </row>
    <row r="1042" spans="53:53" ht="16.5" customHeight="1">
      <c r="BA1042" s="124"/>
    </row>
    <row r="1043" spans="53:53" ht="16.5" customHeight="1">
      <c r="BA1043" s="124"/>
    </row>
    <row r="1044" spans="53:53" ht="16.5" customHeight="1">
      <c r="BA1044" s="124"/>
    </row>
    <row r="1045" spans="53:53" ht="16.5" customHeight="1">
      <c r="BA1045" s="124"/>
    </row>
    <row r="1046" spans="53:53" ht="16.5" customHeight="1">
      <c r="BA1046" s="124"/>
    </row>
    <row r="1047" spans="53:53" ht="16.5" customHeight="1">
      <c r="BA1047" s="124"/>
    </row>
    <row r="1048" spans="53:53" ht="16.5" customHeight="1">
      <c r="BA1048" s="124"/>
    </row>
    <row r="1049" spans="53:53" ht="16.5" customHeight="1">
      <c r="BA1049" s="124"/>
    </row>
    <row r="1050" spans="53:53" ht="16.5" customHeight="1">
      <c r="BA1050" s="124"/>
    </row>
    <row r="1051" spans="53:53" ht="16.5" customHeight="1">
      <c r="BA1051" s="124"/>
    </row>
    <row r="1052" spans="53:53" ht="16.5" customHeight="1">
      <c r="BA1052" s="124"/>
    </row>
    <row r="1053" spans="53:53" ht="16.5" customHeight="1">
      <c r="BA1053" s="124"/>
    </row>
    <row r="1054" spans="53:53" ht="16.5" customHeight="1">
      <c r="BA1054" s="124"/>
    </row>
    <row r="1055" spans="53:53" ht="16.5" customHeight="1">
      <c r="BA1055" s="124"/>
    </row>
    <row r="1056" spans="53:53" ht="16.5" customHeight="1">
      <c r="BA1056" s="124"/>
    </row>
    <row r="1057" spans="53:53" ht="16.5" customHeight="1">
      <c r="BA1057" s="124"/>
    </row>
    <row r="1058" spans="53:53" ht="16.5" customHeight="1">
      <c r="BA1058" s="124"/>
    </row>
    <row r="1059" spans="53:53" ht="16.5" customHeight="1">
      <c r="BA1059" s="124"/>
    </row>
    <row r="1060" spans="53:53" ht="16.5" customHeight="1">
      <c r="BA1060" s="124"/>
    </row>
    <row r="1061" spans="53:53" ht="16.5" customHeight="1">
      <c r="BA1061" s="124"/>
    </row>
    <row r="1062" spans="53:53" ht="16.5" customHeight="1">
      <c r="BA1062" s="124"/>
    </row>
    <row r="1063" spans="53:53" ht="16.5" customHeight="1">
      <c r="BA1063" s="124"/>
    </row>
    <row r="1064" spans="53:53" ht="16.5" customHeight="1">
      <c r="BA1064" s="124"/>
    </row>
    <row r="1065" spans="53:53" ht="16.5" customHeight="1">
      <c r="BA1065" s="124"/>
    </row>
    <row r="1066" spans="53:53" ht="16.5" customHeight="1">
      <c r="BA1066" s="124"/>
    </row>
    <row r="1067" spans="53:53" ht="16.5" customHeight="1">
      <c r="BA1067" s="124"/>
    </row>
    <row r="1068" spans="53:53" ht="16.5" customHeight="1">
      <c r="BA1068" s="124"/>
    </row>
    <row r="1069" spans="53:53" ht="16.5" customHeight="1">
      <c r="BA1069" s="124"/>
    </row>
    <row r="1070" spans="53:53" ht="16.5" customHeight="1">
      <c r="BA1070" s="124"/>
    </row>
    <row r="1071" spans="53:53" ht="16.5" customHeight="1">
      <c r="BA1071" s="124"/>
    </row>
    <row r="1072" spans="53:53" ht="16.5" customHeight="1">
      <c r="BA1072" s="124"/>
    </row>
    <row r="1073" spans="53:53" ht="16.5" customHeight="1">
      <c r="BA1073" s="124"/>
    </row>
    <row r="1074" spans="53:53" ht="16.5" customHeight="1">
      <c r="BA1074" s="124"/>
    </row>
    <row r="1075" spans="53:53" ht="16.5" customHeight="1">
      <c r="BA1075" s="124"/>
    </row>
    <row r="1076" spans="53:53" ht="16.5" customHeight="1">
      <c r="BA1076" s="124"/>
    </row>
    <row r="1077" spans="53:53" ht="16.5" customHeight="1">
      <c r="BA1077" s="124"/>
    </row>
    <row r="1078" spans="53:53" ht="16.5" customHeight="1">
      <c r="BA1078" s="124"/>
    </row>
    <row r="1079" spans="53:53" ht="16.5" customHeight="1">
      <c r="BA1079" s="124"/>
    </row>
    <row r="1080" spans="53:53" ht="16.5" customHeight="1">
      <c r="BA1080" s="124"/>
    </row>
    <row r="1081" spans="53:53" ht="16.5" customHeight="1">
      <c r="BA1081" s="124"/>
    </row>
    <row r="1082" spans="53:53" ht="16.5" customHeight="1">
      <c r="BA1082" s="124"/>
    </row>
    <row r="1083" spans="53:53" ht="16.5" customHeight="1">
      <c r="BA1083" s="124"/>
    </row>
    <row r="1084" spans="53:53" ht="16.5" customHeight="1">
      <c r="BA1084" s="124"/>
    </row>
    <row r="1085" spans="53:53" ht="16.5" customHeight="1">
      <c r="BA1085" s="124"/>
    </row>
    <row r="1086" spans="53:53" ht="16.5" customHeight="1">
      <c r="BA1086" s="124"/>
    </row>
    <row r="1087" spans="53:53" ht="16.5" customHeight="1">
      <c r="BA1087" s="124"/>
    </row>
    <row r="1088" spans="53:53" ht="16.5" customHeight="1">
      <c r="BA1088" s="124"/>
    </row>
    <row r="1089" spans="53:53" ht="16.5" customHeight="1">
      <c r="BA1089" s="124"/>
    </row>
    <row r="1090" spans="53:53" ht="16.5" customHeight="1">
      <c r="BA1090" s="124"/>
    </row>
    <row r="1091" spans="53:53" ht="16.5" customHeight="1">
      <c r="BA1091" s="124"/>
    </row>
    <row r="1092" spans="53:53" ht="16.5" customHeight="1">
      <c r="BA1092" s="124"/>
    </row>
    <row r="1093" spans="53:53" ht="16.5" customHeight="1">
      <c r="BA1093" s="124"/>
    </row>
    <row r="1094" spans="53:53" ht="16.5" customHeight="1">
      <c r="BA1094" s="124"/>
    </row>
    <row r="1095" spans="53:53" ht="16.5" customHeight="1">
      <c r="BA1095" s="124"/>
    </row>
    <row r="1096" spans="53:53" ht="16.5" customHeight="1">
      <c r="BA1096" s="124"/>
    </row>
    <row r="1097" spans="53:53" ht="16.5" customHeight="1">
      <c r="BA1097" s="124"/>
    </row>
    <row r="1098" spans="53:53" ht="16.5" customHeight="1">
      <c r="BA1098" s="124"/>
    </row>
    <row r="1099" spans="53:53" ht="16.5" customHeight="1">
      <c r="BA1099" s="124"/>
    </row>
    <row r="1100" spans="53:53" ht="16.5" customHeight="1">
      <c r="BA1100" s="124"/>
    </row>
    <row r="1101" spans="53:53" ht="16.5" customHeight="1">
      <c r="BA1101" s="124"/>
    </row>
    <row r="1102" spans="53:53" ht="16.5" customHeight="1">
      <c r="BA1102" s="124"/>
    </row>
    <row r="1103" spans="53:53" ht="16.5" customHeight="1">
      <c r="BA1103" s="124"/>
    </row>
    <row r="1104" spans="53:53" ht="16.5" customHeight="1">
      <c r="BA1104" s="124"/>
    </row>
    <row r="1105" spans="53:53" ht="16.5" customHeight="1">
      <c r="BA1105" s="124"/>
    </row>
    <row r="1106" spans="53:53" ht="16.5" customHeight="1">
      <c r="BA1106" s="124"/>
    </row>
    <row r="1107" spans="53:53" ht="16.5" customHeight="1">
      <c r="BA1107" s="124"/>
    </row>
    <row r="1108" spans="53:53" ht="16.5" customHeight="1">
      <c r="BA1108" s="124"/>
    </row>
    <row r="1109" spans="53:53" ht="16.5" customHeight="1">
      <c r="BA1109" s="124"/>
    </row>
    <row r="1110" spans="53:53" ht="16.5" customHeight="1">
      <c r="BA1110" s="124"/>
    </row>
    <row r="1111" spans="53:53" ht="16.5" customHeight="1">
      <c r="BA1111" s="124"/>
    </row>
    <row r="1112" spans="53:53" ht="16.5" customHeight="1">
      <c r="BA1112" s="124"/>
    </row>
    <row r="1113" spans="53:53" ht="16.5" customHeight="1">
      <c r="BA1113" s="124"/>
    </row>
    <row r="1114" spans="53:53" ht="16.5" customHeight="1">
      <c r="BA1114" s="124"/>
    </row>
    <row r="1115" spans="53:53" ht="16.5" customHeight="1">
      <c r="BA1115" s="124"/>
    </row>
    <row r="1116" spans="53:53" ht="16.5" customHeight="1">
      <c r="BA1116" s="124"/>
    </row>
    <row r="1117" spans="53:53" ht="16.5" customHeight="1">
      <c r="BA1117" s="124"/>
    </row>
    <row r="1118" spans="53:53" ht="16.5" customHeight="1">
      <c r="BA1118" s="124"/>
    </row>
    <row r="1119" spans="53:53" ht="16.5" customHeight="1">
      <c r="BA1119" s="124"/>
    </row>
    <row r="1120" spans="53:53" ht="16.5" customHeight="1">
      <c r="BA1120" s="124"/>
    </row>
    <row r="1121" spans="53:53" ht="16.5" customHeight="1">
      <c r="BA1121" s="124"/>
    </row>
    <row r="1122" spans="53:53" ht="16.5" customHeight="1">
      <c r="BA1122" s="124"/>
    </row>
    <row r="1123" spans="53:53" ht="16.5" customHeight="1">
      <c r="BA1123" s="124"/>
    </row>
    <row r="1124" spans="53:53" ht="16.5" customHeight="1">
      <c r="BA1124" s="124"/>
    </row>
    <row r="1125" spans="53:53" ht="16.5" customHeight="1">
      <c r="BA1125" s="124"/>
    </row>
    <row r="1126" spans="53:53" ht="16.5" customHeight="1">
      <c r="BA1126" s="124"/>
    </row>
    <row r="1127" spans="53:53" ht="16.5" customHeight="1">
      <c r="BA1127" s="124"/>
    </row>
    <row r="1128" spans="53:53" ht="16.5" customHeight="1">
      <c r="BA1128" s="124"/>
    </row>
    <row r="1129" spans="53:53" ht="16.5" customHeight="1">
      <c r="BA1129" s="124"/>
    </row>
    <row r="1130" spans="53:53" ht="16.5" customHeight="1">
      <c r="BA1130" s="124"/>
    </row>
    <row r="1131" spans="53:53" ht="16.5" customHeight="1">
      <c r="BA1131" s="124"/>
    </row>
    <row r="1132" spans="53:53" ht="16.5" customHeight="1">
      <c r="BA1132" s="124"/>
    </row>
    <row r="1133" spans="53:53" ht="16.5" customHeight="1">
      <c r="BA1133" s="124"/>
    </row>
    <row r="1134" spans="53:53" ht="16.5" customHeight="1">
      <c r="BA1134" s="124"/>
    </row>
    <row r="1135" spans="53:53" ht="16.5" customHeight="1">
      <c r="BA1135" s="124"/>
    </row>
    <row r="1136" spans="53:53" ht="16.5" customHeight="1">
      <c r="BA1136" s="124"/>
    </row>
    <row r="1137" spans="53:53" ht="16.5" customHeight="1">
      <c r="BA1137" s="124"/>
    </row>
    <row r="1138" spans="53:53" ht="16.5" customHeight="1">
      <c r="BA1138" s="124"/>
    </row>
    <row r="1139" spans="53:53" ht="16.5" customHeight="1">
      <c r="BA1139" s="124"/>
    </row>
    <row r="1140" spans="53:53" ht="16.5" customHeight="1">
      <c r="BA1140" s="124"/>
    </row>
    <row r="1141" spans="53:53" ht="16.5" customHeight="1">
      <c r="BA1141" s="124"/>
    </row>
    <row r="1142" spans="53:53" ht="16.5" customHeight="1">
      <c r="BA1142" s="124"/>
    </row>
    <row r="1143" spans="53:53" ht="16.5" customHeight="1">
      <c r="BA1143" s="124"/>
    </row>
    <row r="1144" spans="53:53" ht="16.5" customHeight="1">
      <c r="BA1144" s="124"/>
    </row>
    <row r="1145" spans="53:53" ht="16.5" customHeight="1">
      <c r="BA1145" s="124"/>
    </row>
    <row r="1146" spans="53:53" ht="16.5" customHeight="1">
      <c r="BA1146" s="124"/>
    </row>
    <row r="1147" spans="53:53" ht="16.5" customHeight="1">
      <c r="BA1147" s="124"/>
    </row>
    <row r="1148" spans="53:53" ht="16.5" customHeight="1">
      <c r="BA1148" s="124"/>
    </row>
    <row r="1149" spans="53:53" ht="16.5" customHeight="1">
      <c r="BA1149" s="124"/>
    </row>
    <row r="1150" spans="53:53" ht="16.5" customHeight="1">
      <c r="BA1150" s="124"/>
    </row>
    <row r="1151" spans="53:53" ht="16.5" customHeight="1">
      <c r="BA1151" s="124"/>
    </row>
    <row r="1152" spans="53:53" ht="16.5" customHeight="1">
      <c r="BA1152" s="124"/>
    </row>
    <row r="1153" spans="53:53" ht="16.5" customHeight="1">
      <c r="BA1153" s="124"/>
    </row>
    <row r="1154" spans="53:53" ht="16.5" customHeight="1">
      <c r="BA1154" s="124"/>
    </row>
    <row r="1155" spans="53:53" ht="16.5" customHeight="1">
      <c r="BA1155" s="124"/>
    </row>
    <row r="1156" spans="53:53" ht="16.5" customHeight="1">
      <c r="BA1156" s="124"/>
    </row>
    <row r="1157" spans="53:53" ht="16.5" customHeight="1">
      <c r="BA1157" s="124"/>
    </row>
    <row r="1158" spans="53:53" ht="16.5" customHeight="1">
      <c r="BA1158" s="124"/>
    </row>
    <row r="1159" spans="53:53" ht="16.5" customHeight="1">
      <c r="BA1159" s="124"/>
    </row>
    <row r="1160" spans="53:53" ht="16.5" customHeight="1">
      <c r="BA1160" s="124"/>
    </row>
    <row r="1161" spans="53:53" ht="16.5" customHeight="1">
      <c r="BA1161" s="124"/>
    </row>
    <row r="1162" spans="53:53" ht="16.5" customHeight="1">
      <c r="BA1162" s="124"/>
    </row>
    <row r="1163" spans="53:53" ht="16.5" customHeight="1">
      <c r="BA1163" s="124"/>
    </row>
    <row r="1164" spans="53:53" ht="16.5" customHeight="1">
      <c r="BA1164" s="124"/>
    </row>
    <row r="1165" spans="53:53" ht="16.5" customHeight="1">
      <c r="BA1165" s="124"/>
    </row>
    <row r="1166" spans="53:53" ht="16.5" customHeight="1">
      <c r="BA1166" s="124"/>
    </row>
    <row r="1167" spans="53:53" ht="16.5" customHeight="1">
      <c r="BA1167" s="124"/>
    </row>
    <row r="1168" spans="53:53" ht="16.5" customHeight="1">
      <c r="BA1168" s="124"/>
    </row>
    <row r="1169" spans="53:53" ht="16.5" customHeight="1">
      <c r="BA1169" s="124"/>
    </row>
    <row r="1170" spans="53:53" ht="16.5" customHeight="1">
      <c r="BA1170" s="124"/>
    </row>
    <row r="1171" spans="53:53" ht="16.5" customHeight="1">
      <c r="BA1171" s="124"/>
    </row>
    <row r="1172" spans="53:53" ht="16.5" customHeight="1">
      <c r="BA1172" s="124"/>
    </row>
    <row r="1173" spans="53:53" ht="16.5" customHeight="1">
      <c r="BA1173" s="124"/>
    </row>
    <row r="1174" spans="53:53" ht="16.5" customHeight="1">
      <c r="BA1174" s="124"/>
    </row>
    <row r="1175" spans="53:53" ht="16.5" customHeight="1">
      <c r="BA1175" s="124"/>
    </row>
    <row r="1176" spans="53:53" ht="16.5" customHeight="1">
      <c r="BA1176" s="124"/>
    </row>
    <row r="1177" spans="53:53" ht="16.5" customHeight="1">
      <c r="BA1177" s="124"/>
    </row>
    <row r="1178" spans="53:53" ht="16.5" customHeight="1">
      <c r="BA1178" s="124"/>
    </row>
    <row r="1179" spans="53:53" ht="16.5" customHeight="1">
      <c r="BA1179" s="124"/>
    </row>
    <row r="1180" spans="53:53" ht="16.5" customHeight="1">
      <c r="BA1180" s="124"/>
    </row>
    <row r="1181" spans="53:53" ht="16.5" customHeight="1">
      <c r="BA1181" s="124"/>
    </row>
    <row r="1182" spans="53:53" ht="16.5" customHeight="1">
      <c r="BA1182" s="124"/>
    </row>
    <row r="1183" spans="53:53" ht="16.5" customHeight="1">
      <c r="BA1183" s="124"/>
    </row>
    <row r="1184" spans="53:53" ht="16.5" customHeight="1">
      <c r="BA1184" s="124"/>
    </row>
    <row r="1185" spans="53:53" ht="16.5" customHeight="1">
      <c r="BA1185" s="124"/>
    </row>
    <row r="1186" spans="53:53" ht="16.5" customHeight="1">
      <c r="BA1186" s="124"/>
    </row>
    <row r="1187" spans="53:53" ht="16.5" customHeight="1">
      <c r="BA1187" s="124"/>
    </row>
    <row r="1188" spans="53:53" ht="16.5" customHeight="1">
      <c r="BA1188" s="124"/>
    </row>
    <row r="1189" spans="53:53" ht="16.5" customHeight="1">
      <c r="BA1189" s="124"/>
    </row>
    <row r="1190" spans="53:53" ht="16.5" customHeight="1">
      <c r="BA1190" s="124"/>
    </row>
    <row r="1191" spans="53:53" ht="16.5" customHeight="1">
      <c r="BA1191" s="124"/>
    </row>
    <row r="1192" spans="53:53" ht="16.5" customHeight="1">
      <c r="BA1192" s="124"/>
    </row>
    <row r="1193" spans="53:53" ht="16.5" customHeight="1">
      <c r="BA1193" s="124"/>
    </row>
    <row r="1194" spans="53:53" ht="16.5" customHeight="1">
      <c r="BA1194" s="124"/>
    </row>
    <row r="1195" spans="53:53" ht="16.5" customHeight="1">
      <c r="BA1195" s="124"/>
    </row>
    <row r="1196" spans="53:53" ht="16.5" customHeight="1">
      <c r="BA1196" s="124"/>
    </row>
    <row r="1197" spans="53:53" ht="16.5" customHeight="1">
      <c r="BA1197" s="124"/>
    </row>
    <row r="1198" spans="53:53" ht="16.5" customHeight="1">
      <c r="BA1198" s="124"/>
    </row>
    <row r="1199" spans="53:53" ht="16.5" customHeight="1">
      <c r="BA1199" s="124"/>
    </row>
    <row r="1200" spans="53:53" ht="16.5" customHeight="1">
      <c r="BA1200" s="124"/>
    </row>
    <row r="1201" spans="53:53" ht="16.5" customHeight="1">
      <c r="BA1201" s="124"/>
    </row>
    <row r="1202" spans="53:53" ht="16.5" customHeight="1">
      <c r="BA1202" s="124"/>
    </row>
    <row r="1203" spans="53:53" ht="16.5" customHeight="1">
      <c r="BA1203" s="124"/>
    </row>
    <row r="1204" spans="53:53" ht="16.5" customHeight="1">
      <c r="BA1204" s="124"/>
    </row>
    <row r="1205" spans="53:53" ht="16.5" customHeight="1">
      <c r="BA1205" s="124"/>
    </row>
    <row r="1206" spans="53:53" ht="16.5" customHeight="1">
      <c r="BA1206" s="124"/>
    </row>
    <row r="1207" spans="53:53" ht="16.5" customHeight="1">
      <c r="BA1207" s="124"/>
    </row>
    <row r="1208" spans="53:53" ht="16.5" customHeight="1">
      <c r="BA1208" s="124"/>
    </row>
    <row r="1209" spans="53:53" ht="16.5" customHeight="1">
      <c r="BA1209" s="124"/>
    </row>
    <row r="1210" spans="53:53" ht="16.5" customHeight="1">
      <c r="BA1210" s="124"/>
    </row>
    <row r="1211" spans="53:53" ht="16.5" customHeight="1">
      <c r="BA1211" s="124"/>
    </row>
    <row r="1212" spans="53:53" ht="16.5" customHeight="1">
      <c r="BA1212" s="124"/>
    </row>
    <row r="1213" spans="53:53" ht="16.5" customHeight="1">
      <c r="BA1213" s="124"/>
    </row>
    <row r="1214" spans="53:53" ht="16.5" customHeight="1">
      <c r="BA1214" s="124"/>
    </row>
    <row r="1215" spans="53:53" ht="16.5" customHeight="1">
      <c r="BA1215" s="124"/>
    </row>
    <row r="1216" spans="53:53" ht="16.5" customHeight="1">
      <c r="BA1216" s="124"/>
    </row>
    <row r="1217" spans="53:53" ht="16.5" customHeight="1">
      <c r="BA1217" s="124"/>
    </row>
    <row r="1218" spans="53:53" ht="16.5" customHeight="1">
      <c r="BA1218" s="124"/>
    </row>
    <row r="1219" spans="53:53" ht="16.5" customHeight="1">
      <c r="BA1219" s="124"/>
    </row>
    <row r="1220" spans="53:53" ht="16.5" customHeight="1">
      <c r="BA1220" s="124"/>
    </row>
    <row r="1221" spans="53:53" ht="16.5" customHeight="1">
      <c r="BA1221" s="124"/>
    </row>
    <row r="1222" spans="53:53" ht="16.5" customHeight="1">
      <c r="BA1222" s="124"/>
    </row>
    <row r="1223" spans="53:53" ht="16.5" customHeight="1">
      <c r="BA1223" s="124"/>
    </row>
    <row r="1224" spans="53:53" ht="16.5" customHeight="1">
      <c r="BA1224" s="124"/>
    </row>
    <row r="1225" spans="53:53" ht="16.5" customHeight="1">
      <c r="BA1225" s="124"/>
    </row>
    <row r="1226" spans="53:53" ht="16.5" customHeight="1">
      <c r="BA1226" s="124"/>
    </row>
    <row r="1227" spans="53:53" ht="16.5" customHeight="1">
      <c r="BA1227" s="124"/>
    </row>
    <row r="1228" spans="53:53" ht="16.5" customHeight="1">
      <c r="BA1228" s="124"/>
    </row>
    <row r="1229" spans="53:53" ht="16.5" customHeight="1">
      <c r="BA1229" s="124"/>
    </row>
    <row r="1230" spans="53:53" ht="16.5" customHeight="1">
      <c r="BA1230" s="124"/>
    </row>
    <row r="1231" spans="53:53" ht="16.5" customHeight="1">
      <c r="BA1231" s="124"/>
    </row>
    <row r="1232" spans="53:53" ht="16.5" customHeight="1">
      <c r="BA1232" s="124"/>
    </row>
    <row r="1233" spans="53:53" ht="16.5" customHeight="1">
      <c r="BA1233" s="124"/>
    </row>
    <row r="1234" spans="53:53" ht="16.5" customHeight="1">
      <c r="BA1234" s="124"/>
    </row>
    <row r="1235" spans="53:53" ht="16.5" customHeight="1">
      <c r="BA1235" s="124"/>
    </row>
    <row r="1236" spans="53:53" ht="16.5" customHeight="1">
      <c r="BA1236" s="124"/>
    </row>
    <row r="1237" spans="53:53" ht="16.5" customHeight="1">
      <c r="BA1237" s="124"/>
    </row>
    <row r="1238" spans="53:53" ht="16.5" customHeight="1">
      <c r="BA1238" s="124"/>
    </row>
    <row r="1239" spans="53:53" ht="16.5" customHeight="1">
      <c r="BA1239" s="124"/>
    </row>
    <row r="1240" spans="53:53" ht="16.5" customHeight="1">
      <c r="BA1240" s="124"/>
    </row>
    <row r="1241" spans="53:53" ht="16.5" customHeight="1">
      <c r="BA1241" s="124"/>
    </row>
    <row r="1242" spans="53:53" ht="16.5" customHeight="1">
      <c r="BA1242" s="124"/>
    </row>
    <row r="1243" spans="53:53" ht="16.5" customHeight="1">
      <c r="BA1243" s="124"/>
    </row>
    <row r="1244" spans="53:53" ht="16.5" customHeight="1">
      <c r="BA1244" s="124"/>
    </row>
    <row r="1245" spans="53:53" ht="16.5" customHeight="1">
      <c r="BA1245" s="124"/>
    </row>
    <row r="1246" spans="53:53" ht="16.5" customHeight="1">
      <c r="BA1246" s="124"/>
    </row>
  </sheetData>
  <sheetProtection algorithmName="SHA-512" hashValue="geqve9A2JwtRlm+xMYa4x22OlVRHXhZkaMq6Esc/RMw3u40oQzWeEgV+Jmem7w76mQeR+FcRQZnmyrTJU5ufrg==" saltValue="Ngrmpmqqdw5LTAtUKPZS3w==" spinCount="100000" sheet="1" formatCells="0"/>
  <mergeCells count="263">
    <mergeCell ref="AE20:AF21"/>
    <mergeCell ref="AE32:AF33"/>
    <mergeCell ref="AE34:AF37"/>
    <mergeCell ref="AE44:AF45"/>
    <mergeCell ref="AE46:AF49"/>
    <mergeCell ref="K51:K52"/>
    <mergeCell ref="L51:M52"/>
    <mergeCell ref="L37:M38"/>
    <mergeCell ref="K37:K38"/>
    <mergeCell ref="K35:K36"/>
    <mergeCell ref="K33:K34"/>
    <mergeCell ref="K27:K28"/>
    <mergeCell ref="L27:M28"/>
    <mergeCell ref="K39:K40"/>
    <mergeCell ref="L39:M40"/>
    <mergeCell ref="K49:K50"/>
    <mergeCell ref="L49:M50"/>
    <mergeCell ref="K47:K48"/>
    <mergeCell ref="L47:M48"/>
    <mergeCell ref="K44:M44"/>
    <mergeCell ref="K45:K46"/>
    <mergeCell ref="L45:L46"/>
    <mergeCell ref="M45:M46"/>
    <mergeCell ref="AD32:AD33"/>
    <mergeCell ref="AB32:AB33"/>
    <mergeCell ref="L33:L34"/>
    <mergeCell ref="M33:M34"/>
    <mergeCell ref="L35:M36"/>
    <mergeCell ref="O32:P33"/>
    <mergeCell ref="Q32:Q33"/>
    <mergeCell ref="R32:S32"/>
    <mergeCell ref="T32:T33"/>
    <mergeCell ref="U32:U33"/>
    <mergeCell ref="V32:V33"/>
    <mergeCell ref="Y32:Y33"/>
    <mergeCell ref="Z32:Z33"/>
    <mergeCell ref="Y34:Y37"/>
    <mergeCell ref="Z34:Z37"/>
    <mergeCell ref="V34:V37"/>
    <mergeCell ref="Q34:Q37"/>
    <mergeCell ref="P34:P37"/>
    <mergeCell ref="O34:O37"/>
    <mergeCell ref="U34:U37"/>
    <mergeCell ref="T34:T37"/>
    <mergeCell ref="S34:S37"/>
    <mergeCell ref="R34:R37"/>
    <mergeCell ref="Z54:Z56"/>
    <mergeCell ref="AB34:AB37"/>
    <mergeCell ref="AC34:AC37"/>
    <mergeCell ref="V46:V49"/>
    <mergeCell ref="O44:P45"/>
    <mergeCell ref="Q44:Q45"/>
    <mergeCell ref="S46:S49"/>
    <mergeCell ref="T44:T45"/>
    <mergeCell ref="T46:T49"/>
    <mergeCell ref="AB54:AC56"/>
    <mergeCell ref="U54:U56"/>
    <mergeCell ref="V54:V56"/>
    <mergeCell ref="Q54:R56"/>
    <mergeCell ref="T54:T56"/>
    <mergeCell ref="Y17:Z17"/>
    <mergeCell ref="Y18:Z18"/>
    <mergeCell ref="AB17:AC17"/>
    <mergeCell ref="AB18:AC18"/>
    <mergeCell ref="S16:T16"/>
    <mergeCell ref="Y22:Y25"/>
    <mergeCell ref="Z22:Z25"/>
    <mergeCell ref="Y52:Y53"/>
    <mergeCell ref="Z52:Z53"/>
    <mergeCell ref="R20:S20"/>
    <mergeCell ref="T20:T21"/>
    <mergeCell ref="S22:S25"/>
    <mergeCell ref="T52:T53"/>
    <mergeCell ref="U52:U53"/>
    <mergeCell ref="V52:V53"/>
    <mergeCell ref="U17:V17"/>
    <mergeCell ref="U18:V18"/>
    <mergeCell ref="AB22:AB25"/>
    <mergeCell ref="AC22:AC25"/>
    <mergeCell ref="Q52:R53"/>
    <mergeCell ref="S52:S53"/>
    <mergeCell ref="AB52:AC53"/>
    <mergeCell ref="Q22:Q25"/>
    <mergeCell ref="AC32:AC33"/>
    <mergeCell ref="O13:P13"/>
    <mergeCell ref="Q13:R13"/>
    <mergeCell ref="S13:T13"/>
    <mergeCell ref="AE12:AF12"/>
    <mergeCell ref="AE13:AF13"/>
    <mergeCell ref="Y13:Z13"/>
    <mergeCell ref="AB13:AC13"/>
    <mergeCell ref="Y16:Z16"/>
    <mergeCell ref="AB16:AC16"/>
    <mergeCell ref="AE14:AF14"/>
    <mergeCell ref="AE15:AF15"/>
    <mergeCell ref="AE16:AF16"/>
    <mergeCell ref="Q15:R15"/>
    <mergeCell ref="S15:T15"/>
    <mergeCell ref="O14:P14"/>
    <mergeCell ref="Q14:R14"/>
    <mergeCell ref="Q16:R16"/>
    <mergeCell ref="O16:P16"/>
    <mergeCell ref="U16:V16"/>
    <mergeCell ref="O15:P15"/>
    <mergeCell ref="AE5:AF6"/>
    <mergeCell ref="AE7:AF7"/>
    <mergeCell ref="AE8:AF8"/>
    <mergeCell ref="AE9:AF9"/>
    <mergeCell ref="Y15:Z15"/>
    <mergeCell ref="AB15:AC15"/>
    <mergeCell ref="AE10:AF10"/>
    <mergeCell ref="AE11:AF11"/>
    <mergeCell ref="S14:T14"/>
    <mergeCell ref="U14:V14"/>
    <mergeCell ref="Y14:Z14"/>
    <mergeCell ref="AB14:AC14"/>
    <mergeCell ref="U13:V13"/>
    <mergeCell ref="S11:T11"/>
    <mergeCell ref="U11:V11"/>
    <mergeCell ref="Y11:Z11"/>
    <mergeCell ref="U15:V15"/>
    <mergeCell ref="C13:C14"/>
    <mergeCell ref="D13:D14"/>
    <mergeCell ref="E13:E14"/>
    <mergeCell ref="K13:L13"/>
    <mergeCell ref="K14:L14"/>
    <mergeCell ref="M14:N14"/>
    <mergeCell ref="D15:D16"/>
    <mergeCell ref="K16:L16"/>
    <mergeCell ref="M16:N16"/>
    <mergeCell ref="C15:C16"/>
    <mergeCell ref="E15:E16"/>
    <mergeCell ref="K15:L15"/>
    <mergeCell ref="M15:N15"/>
    <mergeCell ref="M13:N13"/>
    <mergeCell ref="K1:N1"/>
    <mergeCell ref="Q1:S1"/>
    <mergeCell ref="S10:T10"/>
    <mergeCell ref="U10:V10"/>
    <mergeCell ref="Y10:Z10"/>
    <mergeCell ref="AB10:AC10"/>
    <mergeCell ref="Q9:R9"/>
    <mergeCell ref="S9:T9"/>
    <mergeCell ref="U9:V9"/>
    <mergeCell ref="Y9:Z9"/>
    <mergeCell ref="K9:L9"/>
    <mergeCell ref="M9:N9"/>
    <mergeCell ref="O9:P9"/>
    <mergeCell ref="Q8:R8"/>
    <mergeCell ref="S8:T8"/>
    <mergeCell ref="C2:J2"/>
    <mergeCell ref="K2:N2"/>
    <mergeCell ref="O5:P5"/>
    <mergeCell ref="AB2:AC2"/>
    <mergeCell ref="K3:N3"/>
    <mergeCell ref="R3:U3"/>
    <mergeCell ref="AB3:AC3"/>
    <mergeCell ref="Q2:U2"/>
    <mergeCell ref="AD5:AD6"/>
    <mergeCell ref="K6:L6"/>
    <mergeCell ref="M6:N6"/>
    <mergeCell ref="O6:P6"/>
    <mergeCell ref="Q6:R6"/>
    <mergeCell ref="S6:T6"/>
    <mergeCell ref="U6:V6"/>
    <mergeCell ref="Q5:R5"/>
    <mergeCell ref="S5:T5"/>
    <mergeCell ref="U5:V5"/>
    <mergeCell ref="C7:C8"/>
    <mergeCell ref="K7:L7"/>
    <mergeCell ref="M7:N7"/>
    <mergeCell ref="O7:P7"/>
    <mergeCell ref="AB5:AC6"/>
    <mergeCell ref="Y5:Z6"/>
    <mergeCell ref="C5:C6"/>
    <mergeCell ref="K5:L5"/>
    <mergeCell ref="M5:N5"/>
    <mergeCell ref="U8:V8"/>
    <mergeCell ref="Y8:Z8"/>
    <mergeCell ref="AB8:AC8"/>
    <mergeCell ref="Q7:R7"/>
    <mergeCell ref="S7:T7"/>
    <mergeCell ref="U7:V7"/>
    <mergeCell ref="Y7:Z7"/>
    <mergeCell ref="D5:D6"/>
    <mergeCell ref="D7:D8"/>
    <mergeCell ref="E7:E8"/>
    <mergeCell ref="AB7:AC7"/>
    <mergeCell ref="K8:L8"/>
    <mergeCell ref="M8:N8"/>
    <mergeCell ref="O8:P8"/>
    <mergeCell ref="C11:C12"/>
    <mergeCell ref="K11:L11"/>
    <mergeCell ref="M11:N11"/>
    <mergeCell ref="O11:P11"/>
    <mergeCell ref="E11:E12"/>
    <mergeCell ref="AB9:AC9"/>
    <mergeCell ref="K10:L10"/>
    <mergeCell ref="M10:N10"/>
    <mergeCell ref="O10:P10"/>
    <mergeCell ref="Q10:R10"/>
    <mergeCell ref="AB11:AC11"/>
    <mergeCell ref="K12:L12"/>
    <mergeCell ref="M12:N12"/>
    <mergeCell ref="O12:P12"/>
    <mergeCell ref="Q12:R12"/>
    <mergeCell ref="S12:T12"/>
    <mergeCell ref="U12:V12"/>
    <mergeCell ref="Y12:Z12"/>
    <mergeCell ref="AB12:AC12"/>
    <mergeCell ref="Q11:R11"/>
    <mergeCell ref="D9:D10"/>
    <mergeCell ref="D11:D12"/>
    <mergeCell ref="E9:E10"/>
    <mergeCell ref="C9:C10"/>
    <mergeCell ref="AE22:AF25"/>
    <mergeCell ref="K25:K26"/>
    <mergeCell ref="L25:M26"/>
    <mergeCell ref="AD20:AD21"/>
    <mergeCell ref="R22:R25"/>
    <mergeCell ref="V20:V21"/>
    <mergeCell ref="U22:U25"/>
    <mergeCell ref="V22:V25"/>
    <mergeCell ref="O31:P31"/>
    <mergeCell ref="K21:K22"/>
    <mergeCell ref="AD22:AD25"/>
    <mergeCell ref="K23:K24"/>
    <mergeCell ref="L23:M24"/>
    <mergeCell ref="T22:T25"/>
    <mergeCell ref="Y20:Y21"/>
    <mergeCell ref="Z20:Z21"/>
    <mergeCell ref="AB20:AB21"/>
    <mergeCell ref="AC20:AC21"/>
    <mergeCell ref="K20:M20"/>
    <mergeCell ref="O20:P21"/>
    <mergeCell ref="Q20:Q21"/>
    <mergeCell ref="L21:L22"/>
    <mergeCell ref="M21:M22"/>
    <mergeCell ref="U20:U21"/>
    <mergeCell ref="AD34:AD37"/>
    <mergeCell ref="U46:U49"/>
    <mergeCell ref="V44:V45"/>
    <mergeCell ref="U44:U45"/>
    <mergeCell ref="S54:S56"/>
    <mergeCell ref="O19:P19"/>
    <mergeCell ref="R44:S44"/>
    <mergeCell ref="Q46:Q49"/>
    <mergeCell ref="P46:P49"/>
    <mergeCell ref="O46:O49"/>
    <mergeCell ref="R46:R49"/>
    <mergeCell ref="Y44:Y45"/>
    <mergeCell ref="Y46:Y49"/>
    <mergeCell ref="Z44:Z45"/>
    <mergeCell ref="Z46:Z49"/>
    <mergeCell ref="AB44:AB45"/>
    <mergeCell ref="AB46:AB49"/>
    <mergeCell ref="AC44:AC45"/>
    <mergeCell ref="AC46:AC49"/>
    <mergeCell ref="AD44:AD45"/>
    <mergeCell ref="AD46:AD49"/>
    <mergeCell ref="Y54:Y56"/>
    <mergeCell ref="P22:P25"/>
    <mergeCell ref="O22:O25"/>
  </mergeCells>
  <phoneticPr fontId="2"/>
  <pageMargins left="0.4" right="0.19" top="0.34" bottom="0.25" header="0.31" footer="0.2"/>
  <pageSetup paperSize="9" scale="54" orientation="landscape" horizontalDpi="300" verticalDpi="300" r:id="rId1"/>
  <headerFooter alignWithMargins="0"/>
  <colBreaks count="1" manualBreakCount="1">
    <brk id="35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I13"/>
  <sheetViews>
    <sheetView showGridLines="0" showRowColHeaders="0" workbookViewId="0">
      <selection activeCell="H7" sqref="H7:I7"/>
    </sheetView>
  </sheetViews>
  <sheetFormatPr defaultColWidth="9" defaultRowHeight="13.5"/>
  <cols>
    <col min="1" max="1" width="3.25" customWidth="1"/>
    <col min="2" max="2" width="6" customWidth="1"/>
    <col min="3" max="3" width="13.625" customWidth="1"/>
    <col min="4" max="9" width="11.375" customWidth="1"/>
    <col min="10" max="10" width="10.875" customWidth="1"/>
  </cols>
  <sheetData>
    <row r="1" spans="2:9" ht="18.75">
      <c r="B1" s="437">
        <f>引数用シート!B2</f>
        <v>45658</v>
      </c>
      <c r="C1" s="437"/>
      <c r="D1" s="88" t="s">
        <v>96</v>
      </c>
      <c r="E1" s="2"/>
    </row>
    <row r="2" spans="2:9" ht="21" customHeight="1"/>
    <row r="3" spans="2:9" ht="28.5" customHeight="1"/>
    <row r="4" spans="2:9" ht="42.75" customHeight="1">
      <c r="B4" s="399" t="s">
        <v>79</v>
      </c>
      <c r="C4" s="399"/>
      <c r="D4" s="399" t="s">
        <v>44</v>
      </c>
      <c r="E4" s="399"/>
      <c r="F4" s="399" t="s">
        <v>78</v>
      </c>
      <c r="G4" s="399"/>
      <c r="H4" s="399" t="s">
        <v>45</v>
      </c>
      <c r="I4" s="399"/>
    </row>
    <row r="5" spans="2:9" ht="42.75" customHeight="1">
      <c r="B5" s="399" t="s">
        <v>77</v>
      </c>
      <c r="C5" s="399"/>
      <c r="D5" s="439">
        <f>引数用シート!L21/100</f>
        <v>6.2600000000000003E-2</v>
      </c>
      <c r="E5" s="439"/>
      <c r="F5" s="439">
        <f>引数用シート!L45/100</f>
        <v>3.0200000000000001E-2</v>
      </c>
      <c r="G5" s="439"/>
      <c r="H5" s="439">
        <f>引数用シート!L33/100</f>
        <v>2.6200000000000001E-2</v>
      </c>
      <c r="I5" s="439"/>
    </row>
    <row r="6" spans="2:9" ht="42.75" customHeight="1">
      <c r="B6" s="440" t="s">
        <v>80</v>
      </c>
      <c r="C6" s="399"/>
      <c r="D6" s="438">
        <f>引数用シート!L23</f>
        <v>26500</v>
      </c>
      <c r="E6" s="438"/>
      <c r="F6" s="438">
        <f>引数用シート!L47</f>
        <v>12900</v>
      </c>
      <c r="G6" s="438"/>
      <c r="H6" s="438">
        <f>引数用シート!L35</f>
        <v>13500</v>
      </c>
      <c r="I6" s="438"/>
    </row>
    <row r="7" spans="2:9" ht="42.75" customHeight="1">
      <c r="B7" s="440" t="s">
        <v>81</v>
      </c>
      <c r="C7" s="399"/>
      <c r="D7" s="438">
        <f>引数用シート!L25</f>
        <v>17100</v>
      </c>
      <c r="E7" s="438"/>
      <c r="F7" s="438">
        <f>引数用シート!L49</f>
        <v>8300</v>
      </c>
      <c r="G7" s="438"/>
      <c r="H7" s="438">
        <f>引数用シート!L37</f>
        <v>6700</v>
      </c>
      <c r="I7" s="438"/>
    </row>
    <row r="8" spans="2:9" ht="42.75" customHeight="1"/>
    <row r="9" spans="2:9" ht="42.75" customHeight="1"/>
    <row r="10" spans="2:9" ht="42.75" customHeight="1"/>
    <row r="11" spans="2:9" ht="21" customHeight="1"/>
    <row r="12" spans="2:9" ht="21" customHeight="1"/>
    <row r="13" spans="2:9" ht="21" customHeight="1"/>
  </sheetData>
  <sheetProtection algorithmName="SHA-512" hashValue="tOhHg5hKnCSQ3kJrSpcazQzOJSzY1AQgOIJZ9rAEymqnIF6smq9iblspXnUaPrKm9+cIdbloTkaRhzenZe88WA==" saltValue="1UEeUgLmAn3BWIevsc35aA==" spinCount="100000" sheet="1" objects="1" scenarios="1" formatCells="0"/>
  <mergeCells count="17">
    <mergeCell ref="H7:I7"/>
    <mergeCell ref="B7:C7"/>
    <mergeCell ref="D4:E4"/>
    <mergeCell ref="F4:G4"/>
    <mergeCell ref="H4:I4"/>
    <mergeCell ref="D5:E5"/>
    <mergeCell ref="D6:E6"/>
    <mergeCell ref="D7:E7"/>
    <mergeCell ref="F7:G7"/>
    <mergeCell ref="B1:C1"/>
    <mergeCell ref="F6:G6"/>
    <mergeCell ref="H5:I5"/>
    <mergeCell ref="H6:I6"/>
    <mergeCell ref="F5:G5"/>
    <mergeCell ref="B4:C4"/>
    <mergeCell ref="B5:C5"/>
    <mergeCell ref="B6:C6"/>
  </mergeCells>
  <phoneticPr fontId="2"/>
  <pageMargins left="0.61" right="0.22" top="0.74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計算シート</vt:lpstr>
      <vt:lpstr>引数用シート</vt:lpstr>
      <vt:lpstr>税率表</vt:lpstr>
      <vt:lpstr>引数用シート!Print_Area</vt:lpstr>
      <vt:lpstr>計算シート!Print_Area</vt:lpstr>
      <vt:lpstr>税率表!Print_Area</vt:lpstr>
      <vt:lpstr>一定の給与所得者年金基準</vt:lpstr>
      <vt:lpstr>加入者</vt:lpstr>
      <vt:lpstr>給与所得算出表</vt:lpstr>
      <vt:lpstr>軽減判定</vt:lpstr>
      <vt:lpstr>元号</vt:lpstr>
      <vt:lpstr>元号表</vt:lpstr>
      <vt:lpstr>所得区分表</vt:lpstr>
      <vt:lpstr>年金控除表６５以上</vt:lpstr>
      <vt:lpstr>年金控除表６５未満</vt:lpstr>
      <vt:lpstr>年金控除率６５以上</vt:lpstr>
      <vt:lpstr>年金控除率６５未満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2018-06-28T04:37:03Z</dcterms:created>
  <dcterms:modified xsi:type="dcterms:W3CDTF">2025-06-05T02:58:17Z</dcterms:modified>
</cp:coreProperties>
</file>